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Себестоимость" sheetId="1" r:id="rId1"/>
    <sheet name="Cash Flow" sheetId="2" r:id="rId2"/>
    <sheet name="Этапы" sheetId="3" r:id="rId3"/>
  </sheets>
  <definedNames>
    <definedName name="_xlnm.Print_Area" localSheetId="0">'Себестоимость'!$A$1:$G$46</definedName>
    <definedName name="_xlnm.Print_Area" localSheetId="2">'Этапы'!$A$1:$W$39</definedName>
  </definedNames>
  <calcPr fullCalcOnLoad="1"/>
</workbook>
</file>

<file path=xl/sharedStrings.xml><?xml version="1.0" encoding="utf-8"?>
<sst xmlns="http://schemas.openxmlformats.org/spreadsheetml/2006/main" count="216" uniqueCount="145">
  <si>
    <t>Основные показатели</t>
  </si>
  <si>
    <t>Производительность</t>
  </si>
  <si>
    <t>кг/год</t>
  </si>
  <si>
    <t>Площадь производственного здания</t>
  </si>
  <si>
    <t>м²</t>
  </si>
  <si>
    <t>Штат сотрудников</t>
  </si>
  <si>
    <t>Инвестиции</t>
  </si>
  <si>
    <t>Стоимость здания</t>
  </si>
  <si>
    <t>Цена строительства</t>
  </si>
  <si>
    <t>€/м²</t>
  </si>
  <si>
    <t>Итого:</t>
  </si>
  <si>
    <t>Производственные расходы</t>
  </si>
  <si>
    <t>Статья расхода</t>
  </si>
  <si>
    <t>кол-во</t>
  </si>
  <si>
    <t>ед.</t>
  </si>
  <si>
    <t>цена/ед.</t>
  </si>
  <si>
    <t>Расходы</t>
  </si>
  <si>
    <t>всего</t>
  </si>
  <si>
    <t>за 1 кг</t>
  </si>
  <si>
    <t>Вода</t>
  </si>
  <si>
    <r>
      <t>м</t>
    </r>
    <r>
      <rPr>
        <sz val="8"/>
        <rFont val="Arial"/>
        <family val="0"/>
      </rPr>
      <t>³/год</t>
    </r>
  </si>
  <si>
    <t>Мальки</t>
  </si>
  <si>
    <t>1/год</t>
  </si>
  <si>
    <t>Электричество</t>
  </si>
  <si>
    <t>кВтч/год</t>
  </si>
  <si>
    <t>Персонал</t>
  </si>
  <si>
    <t>Отопление (газ, КПД=70%)</t>
  </si>
  <si>
    <t>м³</t>
  </si>
  <si>
    <t>Другие расходы</t>
  </si>
  <si>
    <t>Здание</t>
  </si>
  <si>
    <t>Оценка</t>
  </si>
  <si>
    <t>база</t>
  </si>
  <si>
    <t>Эксплуатационные расходы</t>
  </si>
  <si>
    <t>€/год</t>
  </si>
  <si>
    <t>Корм (кормовой коэффициент 0,85)</t>
  </si>
  <si>
    <t>Cash Flow</t>
  </si>
  <si>
    <t>Основные данные</t>
  </si>
  <si>
    <t>Параметры</t>
  </si>
  <si>
    <t>Продолжительность проекта</t>
  </si>
  <si>
    <t>годы</t>
  </si>
  <si>
    <t>Годовое производство</t>
  </si>
  <si>
    <t>тонн/год</t>
  </si>
  <si>
    <t>Средний приход</t>
  </si>
  <si>
    <t>€/Kg</t>
  </si>
  <si>
    <t>Общие инвестиции</t>
  </si>
  <si>
    <t>€*1000</t>
  </si>
  <si>
    <t>Евро фонды</t>
  </si>
  <si>
    <t>Корм</t>
  </si>
  <si>
    <t>Обогрев</t>
  </si>
  <si>
    <t>Зарплата</t>
  </si>
  <si>
    <t>Cash Flow [€*1000]</t>
  </si>
  <si>
    <t>Года</t>
  </si>
  <si>
    <t>В год производство [т/год]</t>
  </si>
  <si>
    <t>Приход от продажи [€/кг]</t>
  </si>
  <si>
    <t>Всего в год [€*1000/год]</t>
  </si>
  <si>
    <t>Всего инвестиций</t>
  </si>
  <si>
    <t>Оборотные средства  [€*1000/год]</t>
  </si>
  <si>
    <t>Другие эксплуатационные расходы</t>
  </si>
  <si>
    <t>Всего оборотных средств</t>
  </si>
  <si>
    <t>Кэш фло, без налогов</t>
  </si>
  <si>
    <t>Суммирование по годам</t>
  </si>
  <si>
    <t>Capitalized Cash flow</t>
  </si>
  <si>
    <t>Зарплата персоналу</t>
  </si>
  <si>
    <t>Цена капитала или инфляция</t>
  </si>
  <si>
    <t>Список этапов</t>
  </si>
  <si>
    <t>№</t>
  </si>
  <si>
    <t>Этап</t>
  </si>
  <si>
    <t>Дней</t>
  </si>
  <si>
    <t>Дата начала</t>
  </si>
  <si>
    <t>Дата окончания</t>
  </si>
  <si>
    <t>Стоимость</t>
  </si>
  <si>
    <t>Месяц</t>
  </si>
  <si>
    <t>1.</t>
  </si>
  <si>
    <t>1.1.</t>
  </si>
  <si>
    <t>1.2.</t>
  </si>
  <si>
    <t>2.</t>
  </si>
  <si>
    <t>Подключение к внешним инженерным сетям</t>
  </si>
  <si>
    <t>3.</t>
  </si>
  <si>
    <t>4.</t>
  </si>
  <si>
    <t>5.</t>
  </si>
  <si>
    <t>(EUR)</t>
  </si>
  <si>
    <t>Проектирование  УЗВ</t>
  </si>
  <si>
    <t>Покупка оборудования и монтаж</t>
  </si>
  <si>
    <t>Строительство  здания</t>
  </si>
  <si>
    <t>Подготовка площадки</t>
  </si>
  <si>
    <t>Фундамент</t>
  </si>
  <si>
    <t>2.1.</t>
  </si>
  <si>
    <t>2.2.</t>
  </si>
  <si>
    <t>2.3.</t>
  </si>
  <si>
    <t>2.4.</t>
  </si>
  <si>
    <t>Внутренняя отделка</t>
  </si>
  <si>
    <t>Запуск УЗВ</t>
  </si>
  <si>
    <t>2.5.</t>
  </si>
  <si>
    <t>Подготовка технологического проекта и консультативное сопровождение проекта</t>
  </si>
  <si>
    <t>3.2.</t>
  </si>
  <si>
    <t>3.1.</t>
  </si>
  <si>
    <t>Покупка оборудование</t>
  </si>
  <si>
    <t>Монтаж</t>
  </si>
  <si>
    <t>Реализация рыбы</t>
  </si>
  <si>
    <t>Разработка технического проекта и местные согласования</t>
  </si>
  <si>
    <t>Разработка и местное согласование эскизного проекта</t>
  </si>
  <si>
    <t>Подготовка и местное согласование технического проекта</t>
  </si>
  <si>
    <t>Стоимость технологического проекта и консультативное сопровождение проекта</t>
  </si>
  <si>
    <t>*</t>
  </si>
  <si>
    <t>В первом году работаем</t>
  </si>
  <si>
    <t>месяца</t>
  </si>
  <si>
    <t>Во втором годе начинаем получать рыбу</t>
  </si>
  <si>
    <t>месяц</t>
  </si>
  <si>
    <t>Во втором году работаем</t>
  </si>
  <si>
    <t>месяцев</t>
  </si>
  <si>
    <t>Время работы УЗВ</t>
  </si>
  <si>
    <t>Урожай когда</t>
  </si>
  <si>
    <t>В перво году начинаем получать рыбу</t>
  </si>
  <si>
    <t>Если 12 месяц, значит не получаем рыбу в этом году.</t>
  </si>
  <si>
    <t>(LV)</t>
  </si>
  <si>
    <t>Стоимость монтажа</t>
  </si>
  <si>
    <t>Стоимость оборудования</t>
  </si>
  <si>
    <t>зарплата</t>
  </si>
  <si>
    <t>Директор</t>
  </si>
  <si>
    <t>Рыбовод</t>
  </si>
  <si>
    <t>Реализатор</t>
  </si>
  <si>
    <t>Итого</t>
  </si>
  <si>
    <t>кол.</t>
  </si>
  <si>
    <t>чел.</t>
  </si>
  <si>
    <t>Кэш фло за 10 лет, без инфляции</t>
  </si>
  <si>
    <t>Ставка внутр. доходности</t>
  </si>
  <si>
    <t>Курс гривны к евро</t>
  </si>
  <si>
    <t>Налоги</t>
  </si>
  <si>
    <t>Социальный</t>
  </si>
  <si>
    <t>Риски</t>
  </si>
  <si>
    <t>€</t>
  </si>
  <si>
    <t>Поставки каждый</t>
  </si>
  <si>
    <t>Платежи</t>
  </si>
  <si>
    <t>6.</t>
  </si>
  <si>
    <t>Ферма по выращиванию сомов</t>
  </si>
  <si>
    <t>Мы не несем ответственности за изменение цен у поставщиков: оборудования, мальков,</t>
  </si>
  <si>
    <t>кормов, энергоресурсов и т.п.</t>
  </si>
  <si>
    <t>Непредвиденные рассходы 10%</t>
  </si>
  <si>
    <t>Кэш фло за 10 лет с учетом инфляции  [€*1000]</t>
  </si>
  <si>
    <t>Author: Vasiliy Krasnoborodko. 2014. Email: info@catfish.lv</t>
  </si>
  <si>
    <t>Copyright © 2014 by Vasiliy Krasnoborodko</t>
  </si>
  <si>
    <t>Оператор УЗВ</t>
  </si>
  <si>
    <t>Бухгалтер по часовая оплата</t>
  </si>
  <si>
    <t>Электрик по часовая оплата</t>
  </si>
  <si>
    <t>Мальки, 10г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</si>
</sst>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 * #,##0_ ;_ * \-#,##0_ ;_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0.0"/>
  </numFmts>
  <fonts count="35"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8"/>
      <name val="Guttman David"/>
      <family val="0"/>
    </font>
    <font>
      <i/>
      <u val="single"/>
      <sz val="16"/>
      <color indexed="18"/>
      <name val="Arial"/>
      <family val="2"/>
    </font>
    <font>
      <u val="single"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0"/>
    </font>
    <font>
      <b/>
      <u val="single"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 Cyr"/>
      <family val="0"/>
    </font>
    <font>
      <b/>
      <sz val="11"/>
      <color indexed="18"/>
      <name val="Arial Cyr"/>
      <family val="0"/>
    </font>
    <font>
      <sz val="10"/>
      <color indexed="18"/>
      <name val="Arial Cyr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CYR"/>
      <family val="0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 CYR"/>
      <family val="0"/>
    </font>
    <font>
      <sz val="10"/>
      <name val="Arial Cyr"/>
      <family val="0"/>
    </font>
    <font>
      <i/>
      <sz val="10"/>
      <color indexed="18"/>
      <name val="Arial Cyr"/>
      <family val="2"/>
    </font>
    <font>
      <sz val="9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 style="thick">
        <color indexed="9"/>
      </top>
      <bottom>
        <color indexed="63"/>
      </bottom>
    </border>
    <border>
      <left style="thin"/>
      <right style="thin"/>
      <top style="thick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180" fontId="18" fillId="0" borderId="4" xfId="15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0" applyNumberFormat="1" applyFont="1" applyFill="1" applyBorder="1" applyAlignment="1" applyProtection="1">
      <alignment/>
      <protection hidden="1"/>
    </xf>
    <xf numFmtId="2" fontId="20" fillId="0" borderId="1" xfId="0" applyNumberFormat="1" applyFont="1" applyFill="1" applyBorder="1" applyAlignment="1" applyProtection="1">
      <alignment/>
      <protection hidden="1"/>
    </xf>
    <xf numFmtId="0" fontId="10" fillId="0" borderId="4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 applyProtection="1">
      <alignment horizontal="center"/>
      <protection hidden="1"/>
    </xf>
    <xf numFmtId="1" fontId="20" fillId="0" borderId="1" xfId="0" applyNumberFormat="1" applyFont="1" applyFill="1" applyBorder="1" applyAlignment="1" applyProtection="1">
      <alignment/>
      <protection hidden="1"/>
    </xf>
    <xf numFmtId="0" fontId="21" fillId="0" borderId="1" xfId="0" applyFont="1" applyBorder="1" applyAlignment="1" applyProtection="1">
      <alignment horizontal="left" indent="2"/>
      <protection hidden="1"/>
    </xf>
    <xf numFmtId="0" fontId="21" fillId="0" borderId="1" xfId="0" applyFont="1" applyBorder="1" applyAlignment="1" applyProtection="1">
      <alignment horizontal="left" indent="2"/>
      <protection hidden="1"/>
    </xf>
    <xf numFmtId="0" fontId="17" fillId="0" borderId="0" xfId="0" applyFont="1" applyAlignment="1">
      <alignment/>
    </xf>
    <xf numFmtId="0" fontId="10" fillId="0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wrapText="1"/>
    </xf>
    <xf numFmtId="0" fontId="15" fillId="0" borderId="6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7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3" fillId="2" borderId="7" xfId="0" applyFont="1" applyFill="1" applyBorder="1" applyAlignment="1">
      <alignment/>
    </xf>
    <xf numFmtId="3" fontId="11" fillId="0" borderId="7" xfId="0" applyNumberFormat="1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" xfId="0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2" fontId="1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27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0" fillId="5" borderId="6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24" fillId="6" borderId="6" xfId="0" applyFont="1" applyFill="1" applyBorder="1" applyAlignment="1">
      <alignment horizontal="center" vertical="top" wrapText="1"/>
    </xf>
    <xf numFmtId="0" fontId="24" fillId="7" borderId="6" xfId="0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6" xfId="0" applyFont="1" applyBorder="1" applyAlignment="1">
      <alignment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8" borderId="6" xfId="0" applyFont="1" applyFill="1" applyBorder="1" applyAlignment="1">
      <alignment horizontal="center" vertical="top" wrapText="1"/>
    </xf>
    <xf numFmtId="0" fontId="23" fillId="8" borderId="6" xfId="0" applyFont="1" applyFill="1" applyBorder="1" applyAlignment="1">
      <alignment vertical="top" wrapText="1"/>
    </xf>
    <xf numFmtId="0" fontId="24" fillId="9" borderId="6" xfId="0" applyFont="1" applyFill="1" applyBorder="1" applyAlignment="1">
      <alignment horizontal="center" vertical="top" wrapText="1"/>
    </xf>
    <xf numFmtId="0" fontId="24" fillId="10" borderId="6" xfId="0" applyFont="1" applyFill="1" applyBorder="1" applyAlignment="1">
      <alignment horizontal="center" vertical="top" wrapText="1"/>
    </xf>
    <xf numFmtId="0" fontId="24" fillId="11" borderId="6" xfId="0" applyFont="1" applyFill="1" applyBorder="1" applyAlignment="1">
      <alignment horizontal="center" vertical="top" wrapText="1"/>
    </xf>
    <xf numFmtId="0" fontId="24" fillId="12" borderId="6" xfId="0" applyFont="1" applyFill="1" applyBorder="1" applyAlignment="1">
      <alignment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6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4" fillId="0" borderId="12" xfId="0" applyFont="1" applyFill="1" applyBorder="1" applyAlignment="1">
      <alignment horizontal="center" vertical="top" wrapText="1"/>
    </xf>
    <xf numFmtId="0" fontId="24" fillId="13" borderId="12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0" fillId="14" borderId="1" xfId="0" applyFill="1" applyBorder="1" applyAlignment="1">
      <alignment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0" fillId="15" borderId="1" xfId="0" applyFill="1" applyBorder="1" applyAlignment="1">
      <alignment/>
    </xf>
    <xf numFmtId="0" fontId="2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28" fillId="0" borderId="0" xfId="0" applyFont="1" applyAlignment="1">
      <alignment horizontal="left" vertical="top" wrapText="1"/>
    </xf>
    <xf numFmtId="0" fontId="28" fillId="0" borderId="19" xfId="0" applyFont="1" applyBorder="1" applyAlignment="1">
      <alignment horizontal="center" vertical="top" wrapText="1"/>
    </xf>
    <xf numFmtId="3" fontId="28" fillId="0" borderId="5" xfId="0" applyNumberFormat="1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3" fontId="28" fillId="0" borderId="6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center" vertical="top" wrapText="1"/>
    </xf>
    <xf numFmtId="3" fontId="27" fillId="0" borderId="6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vertical="top" wrapText="1"/>
    </xf>
    <xf numFmtId="0" fontId="28" fillId="0" borderId="16" xfId="0" applyFont="1" applyBorder="1" applyAlignment="1">
      <alignment horizontal="center" vertical="top" wrapText="1"/>
    </xf>
    <xf numFmtId="3" fontId="28" fillId="0" borderId="1" xfId="0" applyNumberFormat="1" applyFont="1" applyBorder="1" applyAlignment="1">
      <alignment horizontal="center" vertical="top" wrapText="1"/>
    </xf>
    <xf numFmtId="0" fontId="28" fillId="0" borderId="4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0" fillId="11" borderId="0" xfId="0" applyFill="1" applyBorder="1" applyAlignment="1">
      <alignment/>
    </xf>
    <xf numFmtId="0" fontId="23" fillId="0" borderId="6" xfId="0" applyFont="1" applyFill="1" applyBorder="1" applyAlignment="1">
      <alignment vertical="top" wrapText="1"/>
    </xf>
    <xf numFmtId="3" fontId="28" fillId="0" borderId="12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16" borderId="12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0" fontId="23" fillId="17" borderId="6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0" fillId="0" borderId="5" xfId="0" applyBorder="1" applyAlignment="1">
      <alignment/>
    </xf>
    <xf numFmtId="3" fontId="29" fillId="0" borderId="17" xfId="0" applyNumberFormat="1" applyFont="1" applyBorder="1" applyAlignment="1">
      <alignment horizontal="center" vertical="top" wrapText="1"/>
    </xf>
    <xf numFmtId="3" fontId="29" fillId="0" borderId="22" xfId="0" applyNumberFormat="1" applyFont="1" applyBorder="1" applyAlignment="1">
      <alignment horizontal="center" vertical="top" wrapText="1"/>
    </xf>
    <xf numFmtId="3" fontId="30" fillId="0" borderId="6" xfId="0" applyNumberFormat="1" applyFont="1" applyBorder="1" applyAlignment="1">
      <alignment horizontal="center" vertical="top" wrapText="1"/>
    </xf>
    <xf numFmtId="3" fontId="30" fillId="0" borderId="17" xfId="0" applyNumberFormat="1" applyFont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23" fillId="0" borderId="7" xfId="0" applyFont="1" applyFill="1" applyBorder="1" applyAlignment="1">
      <alignment horizontal="center" vertical="top" wrapText="1"/>
    </xf>
    <xf numFmtId="0" fontId="23" fillId="18" borderId="12" xfId="0" applyFont="1" applyFill="1" applyBorder="1" applyAlignment="1">
      <alignment horizontal="center" vertical="top" wrapText="1"/>
    </xf>
    <xf numFmtId="0" fontId="0" fillId="15" borderId="16" xfId="0" applyFill="1" applyBorder="1" applyAlignment="1">
      <alignment/>
    </xf>
    <xf numFmtId="0" fontId="0" fillId="19" borderId="5" xfId="0" applyFill="1" applyBorder="1" applyAlignment="1">
      <alignment/>
    </xf>
    <xf numFmtId="3" fontId="26" fillId="0" borderId="0" xfId="0" applyNumberFormat="1" applyFont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28" fillId="0" borderId="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16" fontId="29" fillId="0" borderId="17" xfId="0" applyNumberFormat="1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11" xfId="0" applyBorder="1" applyAlignment="1">
      <alignment/>
    </xf>
    <xf numFmtId="0" fontId="13" fillId="0" borderId="1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180" fontId="18" fillId="0" borderId="18" xfId="15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/>
    </xf>
    <xf numFmtId="0" fontId="15" fillId="0" borderId="6" xfId="0" applyFont="1" applyFill="1" applyBorder="1" applyAlignment="1">
      <alignment/>
    </xf>
    <xf numFmtId="9" fontId="18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10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33" fillId="0" borderId="0" xfId="0" applyFont="1" applyFill="1" applyAlignment="1" applyProtection="1">
      <alignment/>
      <protection hidden="1"/>
    </xf>
    <xf numFmtId="0" fontId="13" fillId="0" borderId="0" xfId="0" applyFont="1" applyFill="1" applyAlignment="1">
      <alignment/>
    </xf>
    <xf numFmtId="0" fontId="28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7" fillId="0" borderId="6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1" xfId="0" applyFont="1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27" fillId="0" borderId="16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6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36.57421875" style="0" customWidth="1"/>
    <col min="2" max="2" width="7.57421875" style="0" bestFit="1" customWidth="1"/>
    <col min="3" max="3" width="8.421875" style="0" bestFit="1" customWidth="1"/>
    <col min="4" max="4" width="9.28125" style="0" bestFit="1" customWidth="1"/>
    <col min="5" max="5" width="9.57421875" style="0" bestFit="1" customWidth="1"/>
  </cols>
  <sheetData>
    <row r="1" ht="21">
      <c r="A1" s="34" t="s">
        <v>134</v>
      </c>
    </row>
    <row r="2" ht="21">
      <c r="A2" s="34"/>
    </row>
    <row r="4" ht="13.5">
      <c r="A4" s="42" t="s">
        <v>0</v>
      </c>
    </row>
    <row r="5" spans="1:4" ht="18" customHeight="1">
      <c r="A5" s="35" t="s">
        <v>1</v>
      </c>
      <c r="B5" s="1">
        <v>100000</v>
      </c>
      <c r="C5" s="214" t="s">
        <v>2</v>
      </c>
      <c r="D5" s="214"/>
    </row>
    <row r="6" spans="1:4" ht="18" customHeight="1">
      <c r="A6" s="35" t="s">
        <v>126</v>
      </c>
      <c r="B6" s="1"/>
      <c r="C6" s="215"/>
      <c r="D6" s="216"/>
    </row>
    <row r="7" spans="1:4" ht="18" customHeight="1">
      <c r="A7" s="35" t="s">
        <v>3</v>
      </c>
      <c r="B7" s="1">
        <v>600</v>
      </c>
      <c r="C7" s="214" t="s">
        <v>4</v>
      </c>
      <c r="D7" s="214"/>
    </row>
    <row r="8" spans="1:6" ht="18" customHeight="1">
      <c r="A8" s="221" t="s">
        <v>5</v>
      </c>
      <c r="B8" s="192"/>
      <c r="C8" s="193"/>
      <c r="D8" s="193"/>
      <c r="E8" s="215" t="s">
        <v>127</v>
      </c>
      <c r="F8" s="216"/>
    </row>
    <row r="9" spans="1:6" ht="18" customHeight="1">
      <c r="A9" s="222"/>
      <c r="B9" s="224" t="s">
        <v>122</v>
      </c>
      <c r="C9" s="224" t="s">
        <v>117</v>
      </c>
      <c r="D9" s="224" t="s">
        <v>17</v>
      </c>
      <c r="E9" s="182" t="s">
        <v>128</v>
      </c>
      <c r="F9" s="182" t="s">
        <v>129</v>
      </c>
    </row>
    <row r="10" spans="1:6" ht="18" customHeight="1">
      <c r="A10" s="223"/>
      <c r="B10" s="225"/>
      <c r="C10" s="225"/>
      <c r="D10" s="225"/>
      <c r="E10" s="194">
        <v>0</v>
      </c>
      <c r="F10" s="195">
        <v>0</v>
      </c>
    </row>
    <row r="11" spans="1:6" ht="18" customHeight="1">
      <c r="A11" s="184" t="s">
        <v>118</v>
      </c>
      <c r="B11" s="182">
        <v>1</v>
      </c>
      <c r="C11" s="1">
        <v>1000</v>
      </c>
      <c r="D11" s="1">
        <f aca="true" t="shared" si="0" ref="D11:D16">C11*B11</f>
        <v>1000</v>
      </c>
      <c r="E11" s="5">
        <f aca="true" t="shared" si="1" ref="E11:E16">E$10*D11</f>
        <v>0</v>
      </c>
      <c r="F11" s="5">
        <f aca="true" t="shared" si="2" ref="F11:F16">B11*F$10</f>
        <v>0</v>
      </c>
    </row>
    <row r="12" spans="1:6" ht="18" customHeight="1">
      <c r="A12" s="184" t="s">
        <v>142</v>
      </c>
      <c r="B12" s="182">
        <v>1</v>
      </c>
      <c r="C12" s="1">
        <v>300</v>
      </c>
      <c r="D12" s="1">
        <f t="shared" si="0"/>
        <v>300</v>
      </c>
      <c r="E12" s="5">
        <f t="shared" si="1"/>
        <v>0</v>
      </c>
      <c r="F12" s="5">
        <f t="shared" si="2"/>
        <v>0</v>
      </c>
    </row>
    <row r="13" spans="1:6" ht="18" customHeight="1">
      <c r="A13" s="184" t="s">
        <v>119</v>
      </c>
      <c r="B13" s="182">
        <v>1</v>
      </c>
      <c r="C13" s="1">
        <v>1000</v>
      </c>
      <c r="D13" s="1">
        <f t="shared" si="0"/>
        <v>1000</v>
      </c>
      <c r="E13" s="5">
        <f t="shared" si="1"/>
        <v>0</v>
      </c>
      <c r="F13" s="5">
        <f t="shared" si="2"/>
        <v>0</v>
      </c>
    </row>
    <row r="14" spans="1:6" ht="18" customHeight="1">
      <c r="A14" s="184" t="s">
        <v>143</v>
      </c>
      <c r="B14" s="182">
        <v>1</v>
      </c>
      <c r="C14" s="1">
        <v>100</v>
      </c>
      <c r="D14" s="1">
        <f t="shared" si="0"/>
        <v>100</v>
      </c>
      <c r="E14" s="5">
        <f t="shared" si="1"/>
        <v>0</v>
      </c>
      <c r="F14" s="5">
        <f t="shared" si="2"/>
        <v>0</v>
      </c>
    </row>
    <row r="15" spans="1:6" ht="18" customHeight="1">
      <c r="A15" s="184" t="s">
        <v>120</v>
      </c>
      <c r="B15" s="182">
        <v>1</v>
      </c>
      <c r="C15" s="182">
        <v>500</v>
      </c>
      <c r="D15" s="1">
        <f t="shared" si="0"/>
        <v>500</v>
      </c>
      <c r="E15" s="5">
        <f t="shared" si="1"/>
        <v>0</v>
      </c>
      <c r="F15" s="5">
        <f t="shared" si="2"/>
        <v>0</v>
      </c>
    </row>
    <row r="16" spans="1:6" ht="18" customHeight="1">
      <c r="A16" s="184" t="s">
        <v>141</v>
      </c>
      <c r="B16" s="182">
        <v>3</v>
      </c>
      <c r="C16" s="182">
        <v>500</v>
      </c>
      <c r="D16" s="1">
        <f t="shared" si="0"/>
        <v>1500</v>
      </c>
      <c r="E16" s="5">
        <f t="shared" si="1"/>
        <v>0</v>
      </c>
      <c r="F16" s="5">
        <f t="shared" si="2"/>
        <v>0</v>
      </c>
    </row>
    <row r="17" spans="2:6" ht="18" customHeight="1">
      <c r="B17" s="183">
        <f>SUM(B11:B16)</f>
        <v>8</v>
      </c>
      <c r="C17" s="183"/>
      <c r="D17" s="92">
        <f>SUM(D11:D16)</f>
        <v>4400</v>
      </c>
      <c r="E17" s="92">
        <f>SUM(E11:E16)</f>
        <v>0</v>
      </c>
      <c r="F17" s="92">
        <f>SUM(F11:F16)</f>
        <v>0</v>
      </c>
    </row>
    <row r="18" spans="1:6" ht="18" customHeight="1">
      <c r="A18" s="185" t="s">
        <v>121</v>
      </c>
      <c r="B18" s="183"/>
      <c r="C18" s="183"/>
      <c r="D18" s="196">
        <f>D17+E17+F17</f>
        <v>4400</v>
      </c>
      <c r="E18" s="196" t="s">
        <v>130</v>
      </c>
      <c r="F18" s="66"/>
    </row>
    <row r="20" ht="13.5">
      <c r="A20" s="42" t="s">
        <v>6</v>
      </c>
    </row>
    <row r="21" spans="1:2" ht="41.25">
      <c r="A21" s="36" t="s">
        <v>102</v>
      </c>
      <c r="B21" s="2">
        <v>10000</v>
      </c>
    </row>
    <row r="22" spans="1:2" ht="27">
      <c r="A22" s="36" t="s">
        <v>99</v>
      </c>
      <c r="B22" s="2">
        <v>10000</v>
      </c>
    </row>
    <row r="23" spans="1:2" ht="13.5">
      <c r="A23" s="36" t="s">
        <v>116</v>
      </c>
      <c r="B23" s="2">
        <v>100000</v>
      </c>
    </row>
    <row r="24" spans="1:2" ht="13.5">
      <c r="A24" s="36" t="s">
        <v>137</v>
      </c>
      <c r="B24" s="2">
        <f>B23*10%</f>
        <v>10000</v>
      </c>
    </row>
    <row r="25" spans="1:2" ht="13.5">
      <c r="A25" s="36" t="s">
        <v>115</v>
      </c>
      <c r="B25" s="2">
        <f>B23*10%</f>
        <v>10000</v>
      </c>
    </row>
    <row r="26" spans="1:6" ht="18" customHeight="1">
      <c r="A26" s="37" t="s">
        <v>7</v>
      </c>
      <c r="B26" s="2">
        <f>E26*B7</f>
        <v>180000</v>
      </c>
      <c r="C26" s="3" t="s">
        <v>8</v>
      </c>
      <c r="D26" s="3"/>
      <c r="E26" s="186">
        <v>300</v>
      </c>
      <c r="F26" s="3" t="s">
        <v>9</v>
      </c>
    </row>
    <row r="27" spans="1:10" ht="18" customHeight="1">
      <c r="A27" s="31" t="s">
        <v>10</v>
      </c>
      <c r="B27" s="38">
        <f>SUM(B21:B26)</f>
        <v>320000</v>
      </c>
      <c r="J27" s="13"/>
    </row>
    <row r="30" ht="13.5">
      <c r="A30" s="42" t="s">
        <v>11</v>
      </c>
    </row>
    <row r="31" spans="1:6" ht="13.5">
      <c r="A31" s="229" t="s">
        <v>12</v>
      </c>
      <c r="B31" s="229" t="s">
        <v>13</v>
      </c>
      <c r="C31" s="229" t="s">
        <v>14</v>
      </c>
      <c r="D31" s="229" t="s">
        <v>15</v>
      </c>
      <c r="E31" s="217" t="s">
        <v>16</v>
      </c>
      <c r="F31" s="217"/>
    </row>
    <row r="32" spans="1:6" ht="13.5">
      <c r="A32" s="230"/>
      <c r="B32" s="230"/>
      <c r="C32" s="230"/>
      <c r="D32" s="230"/>
      <c r="E32" s="39" t="s">
        <v>17</v>
      </c>
      <c r="F32" s="39" t="s">
        <v>18</v>
      </c>
    </row>
    <row r="33" spans="1:6" ht="18" customHeight="1">
      <c r="A33" s="46" t="s">
        <v>19</v>
      </c>
      <c r="B33" s="1">
        <v>9000</v>
      </c>
      <c r="C33" s="4" t="s">
        <v>20</v>
      </c>
      <c r="D33" s="5">
        <v>0.05</v>
      </c>
      <c r="E33" s="2">
        <f aca="true" t="shared" si="3" ref="E33:E38">D33*B33</f>
        <v>450</v>
      </c>
      <c r="F33" s="5">
        <f aca="true" t="shared" si="4" ref="F33:F38">E33/$B$5</f>
        <v>0.0045</v>
      </c>
    </row>
    <row r="34" spans="1:6" ht="18" customHeight="1">
      <c r="A34" s="46" t="s">
        <v>34</v>
      </c>
      <c r="B34" s="1">
        <v>90000</v>
      </c>
      <c r="C34" s="4" t="s">
        <v>2</v>
      </c>
      <c r="D34" s="5">
        <v>1.15</v>
      </c>
      <c r="E34" s="2">
        <f t="shared" si="3"/>
        <v>103499.99999999999</v>
      </c>
      <c r="F34" s="5">
        <f t="shared" si="4"/>
        <v>1.035</v>
      </c>
    </row>
    <row r="35" spans="1:6" ht="18" customHeight="1">
      <c r="A35" s="46" t="s">
        <v>144</v>
      </c>
      <c r="B35" s="1">
        <v>147000</v>
      </c>
      <c r="C35" s="4" t="s">
        <v>22</v>
      </c>
      <c r="D35" s="5">
        <v>0.33</v>
      </c>
      <c r="E35" s="2">
        <f t="shared" si="3"/>
        <v>48510</v>
      </c>
      <c r="F35" s="5">
        <f t="shared" si="4"/>
        <v>0.4851</v>
      </c>
    </row>
    <row r="36" spans="1:6" ht="18" customHeight="1">
      <c r="A36" s="46" t="s">
        <v>23</v>
      </c>
      <c r="B36" s="1">
        <f>53000*B5/50000</f>
        <v>106000</v>
      </c>
      <c r="C36" s="4" t="s">
        <v>24</v>
      </c>
      <c r="D36" s="5">
        <v>0.1</v>
      </c>
      <c r="E36" s="2">
        <f t="shared" si="3"/>
        <v>10600</v>
      </c>
      <c r="F36" s="5">
        <f t="shared" si="4"/>
        <v>0.106</v>
      </c>
    </row>
    <row r="37" spans="1:6" ht="18" customHeight="1">
      <c r="A37" s="46" t="s">
        <v>25</v>
      </c>
      <c r="B37" s="1">
        <f>B17</f>
        <v>8</v>
      </c>
      <c r="C37" s="4" t="s">
        <v>123</v>
      </c>
      <c r="D37" s="6">
        <f>D18/B37*12</f>
        <v>6600</v>
      </c>
      <c r="E37" s="2">
        <f t="shared" si="3"/>
        <v>52800</v>
      </c>
      <c r="F37" s="5">
        <f t="shared" si="4"/>
        <v>0.528</v>
      </c>
    </row>
    <row r="38" spans="1:6" ht="18" customHeight="1">
      <c r="A38" s="46" t="s">
        <v>26</v>
      </c>
      <c r="B38" s="1">
        <f>85000*B5/100000</f>
        <v>85000</v>
      </c>
      <c r="C38" s="7" t="s">
        <v>27</v>
      </c>
      <c r="D38" s="5">
        <v>0.4</v>
      </c>
      <c r="E38" s="2">
        <f t="shared" si="3"/>
        <v>34000</v>
      </c>
      <c r="F38" s="5">
        <f t="shared" si="4"/>
        <v>0.34</v>
      </c>
    </row>
    <row r="39" spans="1:6" ht="18" customHeight="1">
      <c r="A39" s="218" t="s">
        <v>10</v>
      </c>
      <c r="B39" s="219"/>
      <c r="C39" s="219"/>
      <c r="D39" s="220"/>
      <c r="E39" s="40">
        <f>SUM(E33:E38)</f>
        <v>249860</v>
      </c>
      <c r="F39" s="41">
        <f>SUM(F33:F38)</f>
        <v>2.4985999999999997</v>
      </c>
    </row>
    <row r="40" spans="1:6" ht="13.5">
      <c r="A40" s="8"/>
      <c r="E40" s="9"/>
      <c r="F40" s="10"/>
    </row>
    <row r="41" spans="1:5" ht="13.5">
      <c r="A41" s="42" t="s">
        <v>28</v>
      </c>
      <c r="E41" s="11"/>
    </row>
    <row r="42" spans="1:6" ht="18" customHeight="1">
      <c r="A42" s="44" t="s">
        <v>29</v>
      </c>
      <c r="B42" s="43" t="s">
        <v>30</v>
      </c>
      <c r="C42" s="43" t="s">
        <v>14</v>
      </c>
      <c r="D42" s="43" t="s">
        <v>31</v>
      </c>
      <c r="E42" s="43" t="s">
        <v>17</v>
      </c>
      <c r="F42" s="43" t="s">
        <v>18</v>
      </c>
    </row>
    <row r="43" spans="1:6" ht="18" customHeight="1">
      <c r="A43" s="47" t="s">
        <v>32</v>
      </c>
      <c r="B43" s="12">
        <v>0.02</v>
      </c>
      <c r="C43" s="4" t="s">
        <v>33</v>
      </c>
      <c r="D43" s="2">
        <f>B26</f>
        <v>180000</v>
      </c>
      <c r="E43" s="2">
        <f>D43*B43</f>
        <v>3600</v>
      </c>
      <c r="F43" s="5">
        <f>E43/$B$5</f>
        <v>0.036</v>
      </c>
    </row>
    <row r="44" spans="1:6" ht="18" customHeight="1">
      <c r="A44" s="226" t="s">
        <v>10</v>
      </c>
      <c r="B44" s="227"/>
      <c r="C44" s="227"/>
      <c r="D44" s="228"/>
      <c r="E44" s="45">
        <f>SUM(E43:E43)</f>
        <v>3600</v>
      </c>
      <c r="F44" s="41">
        <f>SUM(F43:F43)</f>
        <v>0.036</v>
      </c>
    </row>
    <row r="45" spans="1:6" ht="13.5">
      <c r="A45" s="8"/>
      <c r="E45" s="9"/>
      <c r="F45" s="10"/>
    </row>
    <row r="46" ht="12.75">
      <c r="A46" s="169" t="s">
        <v>135</v>
      </c>
    </row>
    <row r="47" ht="12.75">
      <c r="A47" s="169" t="s">
        <v>136</v>
      </c>
    </row>
    <row r="49" ht="12.75">
      <c r="A49" s="197" t="s">
        <v>139</v>
      </c>
    </row>
    <row r="50" ht="12.75">
      <c r="A50" s="198" t="s">
        <v>140</v>
      </c>
    </row>
  </sheetData>
  <mergeCells count="15">
    <mergeCell ref="A44:D44"/>
    <mergeCell ref="A31:A32"/>
    <mergeCell ref="B31:B32"/>
    <mergeCell ref="C31:C32"/>
    <mergeCell ref="D31:D32"/>
    <mergeCell ref="C5:D5"/>
    <mergeCell ref="C6:D6"/>
    <mergeCell ref="E31:F31"/>
    <mergeCell ref="A39:D39"/>
    <mergeCell ref="C7:D7"/>
    <mergeCell ref="A8:A10"/>
    <mergeCell ref="E8:F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25">
      <selection activeCell="C36" sqref="C36"/>
    </sheetView>
  </sheetViews>
  <sheetFormatPr defaultColWidth="9.140625" defaultRowHeight="12.75"/>
  <cols>
    <col min="1" max="1" width="36.421875" style="0" bestFit="1" customWidth="1"/>
    <col min="2" max="2" width="9.28125" style="0" bestFit="1" customWidth="1"/>
    <col min="4" max="5" width="7.00390625" style="0" bestFit="1" customWidth="1"/>
    <col min="6" max="6" width="7.28125" style="0" customWidth="1"/>
    <col min="7" max="12" width="7.00390625" style="0" bestFit="1" customWidth="1"/>
  </cols>
  <sheetData>
    <row r="1" spans="3:12" ht="20.25">
      <c r="C1" s="16" t="s">
        <v>35</v>
      </c>
      <c r="D1" s="17"/>
      <c r="H1" s="14"/>
      <c r="I1" s="14"/>
      <c r="L1" s="15"/>
    </row>
    <row r="2" spans="1:12" ht="13.5">
      <c r="A2" s="48" t="s">
        <v>36</v>
      </c>
      <c r="L2" s="15"/>
    </row>
    <row r="3" spans="1:3" ht="13.5">
      <c r="A3" s="18" t="s">
        <v>37</v>
      </c>
      <c r="B3" s="18"/>
      <c r="C3" s="18"/>
    </row>
    <row r="4" spans="1:3" ht="13.5">
      <c r="A4" s="69" t="s">
        <v>38</v>
      </c>
      <c r="B4" s="19" t="s">
        <v>39</v>
      </c>
      <c r="C4" s="19">
        <v>10</v>
      </c>
    </row>
    <row r="5" spans="1:5" ht="13.5">
      <c r="A5" s="69" t="s">
        <v>63</v>
      </c>
      <c r="B5" s="19"/>
      <c r="C5" s="189">
        <v>0.07</v>
      </c>
      <c r="E5" s="167" t="s">
        <v>103</v>
      </c>
    </row>
    <row r="6" spans="1:5" ht="13.5">
      <c r="A6" s="69" t="s">
        <v>40</v>
      </c>
      <c r="B6" s="19" t="s">
        <v>41</v>
      </c>
      <c r="C6" s="166">
        <f>Себестоимость!B5/1000</f>
        <v>100</v>
      </c>
      <c r="E6" s="167" t="s">
        <v>103</v>
      </c>
    </row>
    <row r="7" spans="1:5" ht="13.5">
      <c r="A7" s="69" t="s">
        <v>42</v>
      </c>
      <c r="B7" s="19" t="s">
        <v>43</v>
      </c>
      <c r="C7" s="19">
        <v>5</v>
      </c>
      <c r="E7" s="167" t="s">
        <v>103</v>
      </c>
    </row>
    <row r="8" spans="1:3" ht="13.5">
      <c r="A8" s="69" t="s">
        <v>44</v>
      </c>
      <c r="B8" s="19" t="s">
        <v>45</v>
      </c>
      <c r="C8" s="165">
        <f>Себестоимость!B27/1000</f>
        <v>320</v>
      </c>
    </row>
    <row r="9" spans="1:3" ht="13.5">
      <c r="A9" s="71" t="s">
        <v>46</v>
      </c>
      <c r="B9" s="72" t="s">
        <v>45</v>
      </c>
      <c r="C9" s="72">
        <v>0</v>
      </c>
    </row>
    <row r="10" spans="1:3" ht="13.5">
      <c r="A10" s="76"/>
      <c r="B10" s="77"/>
      <c r="C10" s="77"/>
    </row>
    <row r="11" spans="1:3" ht="13.5">
      <c r="A11" s="73" t="s">
        <v>19</v>
      </c>
      <c r="B11" s="74" t="s">
        <v>43</v>
      </c>
      <c r="C11" s="75">
        <f>Себестоимость!F33</f>
        <v>0.0045</v>
      </c>
    </row>
    <row r="12" spans="1:3" ht="13.5">
      <c r="A12" s="69" t="s">
        <v>47</v>
      </c>
      <c r="B12" s="19" t="s">
        <v>43</v>
      </c>
      <c r="C12" s="70">
        <f>Себестоимость!F34</f>
        <v>1.035</v>
      </c>
    </row>
    <row r="13" spans="1:3" ht="13.5">
      <c r="A13" s="69" t="s">
        <v>21</v>
      </c>
      <c r="B13" s="19" t="s">
        <v>43</v>
      </c>
      <c r="C13" s="70">
        <f>Себестоимость!F35</f>
        <v>0.4851</v>
      </c>
    </row>
    <row r="14" spans="1:3" ht="13.5">
      <c r="A14" s="69" t="s">
        <v>23</v>
      </c>
      <c r="B14" s="19" t="s">
        <v>43</v>
      </c>
      <c r="C14" s="70">
        <f>Себестоимость!F36</f>
        <v>0.106</v>
      </c>
    </row>
    <row r="15" spans="1:3" ht="13.5">
      <c r="A15" s="69" t="s">
        <v>62</v>
      </c>
      <c r="B15" s="19" t="s">
        <v>43</v>
      </c>
      <c r="C15" s="70">
        <f>Себестоимость!F37</f>
        <v>0.528</v>
      </c>
    </row>
    <row r="16" spans="1:7" ht="15">
      <c r="A16" s="69" t="s">
        <v>48</v>
      </c>
      <c r="B16" s="19" t="s">
        <v>43</v>
      </c>
      <c r="C16" s="70">
        <f>Себестоимость!F38</f>
        <v>0.34</v>
      </c>
      <c r="D16" s="20"/>
      <c r="E16" s="14"/>
      <c r="G16" s="15"/>
    </row>
    <row r="17" spans="3:7" ht="15">
      <c r="C17" s="78">
        <f>SUM(C11:C16)</f>
        <v>2.4985999999999997</v>
      </c>
      <c r="D17" s="20"/>
      <c r="E17" s="14"/>
      <c r="G17" s="15"/>
    </row>
    <row r="18" spans="1:12" ht="13.5">
      <c r="A18" s="21"/>
      <c r="B18" s="21"/>
      <c r="C18" s="21"/>
      <c r="D18" s="21"/>
      <c r="E18" s="21"/>
      <c r="F18" s="21"/>
      <c r="L18" s="15"/>
    </row>
    <row r="19" spans="1:12" ht="13.5">
      <c r="A19" s="48" t="s">
        <v>50</v>
      </c>
      <c r="L19" s="15"/>
    </row>
    <row r="20" spans="1:12" ht="12.75">
      <c r="A20" s="66"/>
      <c r="B20" s="67">
        <v>0</v>
      </c>
      <c r="C20" s="67">
        <v>1</v>
      </c>
      <c r="D20" s="67">
        <v>2</v>
      </c>
      <c r="E20" s="67">
        <v>3</v>
      </c>
      <c r="F20" s="67">
        <v>4</v>
      </c>
      <c r="G20" s="67">
        <v>5</v>
      </c>
      <c r="H20" s="67">
        <v>6</v>
      </c>
      <c r="I20" s="67">
        <v>7</v>
      </c>
      <c r="J20" s="67">
        <v>8</v>
      </c>
      <c r="K20" s="67">
        <v>9</v>
      </c>
      <c r="L20" s="68">
        <v>10</v>
      </c>
    </row>
    <row r="21" spans="1:12" ht="13.5">
      <c r="A21" s="49" t="s">
        <v>51</v>
      </c>
      <c r="B21" s="22">
        <v>2005</v>
      </c>
      <c r="C21" s="22">
        <f>B21+1</f>
        <v>2006</v>
      </c>
      <c r="D21" s="22">
        <f aca="true" t="shared" si="0" ref="D21:L21">C21+1</f>
        <v>2007</v>
      </c>
      <c r="E21" s="22">
        <f t="shared" si="0"/>
        <v>2008</v>
      </c>
      <c r="F21" s="22">
        <f t="shared" si="0"/>
        <v>2009</v>
      </c>
      <c r="G21" s="22">
        <f t="shared" si="0"/>
        <v>2010</v>
      </c>
      <c r="H21" s="22">
        <f t="shared" si="0"/>
        <v>2011</v>
      </c>
      <c r="I21" s="22">
        <f t="shared" si="0"/>
        <v>2012</v>
      </c>
      <c r="J21" s="22">
        <f t="shared" si="0"/>
        <v>2013</v>
      </c>
      <c r="K21" s="22">
        <f t="shared" si="0"/>
        <v>2014</v>
      </c>
      <c r="L21" s="57">
        <f t="shared" si="0"/>
        <v>2015</v>
      </c>
    </row>
    <row r="22" spans="1:12" ht="12.75">
      <c r="A22" s="50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58"/>
    </row>
    <row r="23" spans="1:12" ht="13.5">
      <c r="A23" s="51" t="s">
        <v>52</v>
      </c>
      <c r="B23" s="25">
        <f>$C$6*(12-Этапы!C55)/12</f>
        <v>0</v>
      </c>
      <c r="C23" s="25">
        <f>$C$6*(12-Этапы!C56)/12</f>
        <v>75</v>
      </c>
      <c r="D23" s="25">
        <f aca="true" t="shared" si="1" ref="D23:L23">$C$6</f>
        <v>100</v>
      </c>
      <c r="E23" s="25">
        <f t="shared" si="1"/>
        <v>100</v>
      </c>
      <c r="F23" s="25">
        <f t="shared" si="1"/>
        <v>100</v>
      </c>
      <c r="G23" s="25">
        <f t="shared" si="1"/>
        <v>100</v>
      </c>
      <c r="H23" s="25">
        <f t="shared" si="1"/>
        <v>100</v>
      </c>
      <c r="I23" s="25">
        <f t="shared" si="1"/>
        <v>100</v>
      </c>
      <c r="J23" s="25">
        <f t="shared" si="1"/>
        <v>100</v>
      </c>
      <c r="K23" s="25">
        <f t="shared" si="1"/>
        <v>100</v>
      </c>
      <c r="L23" s="59">
        <f t="shared" si="1"/>
        <v>100</v>
      </c>
    </row>
    <row r="24" spans="1:12" ht="13.5">
      <c r="A24" s="51" t="s">
        <v>53</v>
      </c>
      <c r="B24" s="26">
        <f>$C$7</f>
        <v>5</v>
      </c>
      <c r="C24" s="26">
        <f aca="true" t="shared" si="2" ref="C24:L24">$C$7</f>
        <v>5</v>
      </c>
      <c r="D24" s="26">
        <f t="shared" si="2"/>
        <v>5</v>
      </c>
      <c r="E24" s="26">
        <f t="shared" si="2"/>
        <v>5</v>
      </c>
      <c r="F24" s="26">
        <f t="shared" si="2"/>
        <v>5</v>
      </c>
      <c r="G24" s="26">
        <f t="shared" si="2"/>
        <v>5</v>
      </c>
      <c r="H24" s="26">
        <f t="shared" si="2"/>
        <v>5</v>
      </c>
      <c r="I24" s="26">
        <f t="shared" si="2"/>
        <v>5</v>
      </c>
      <c r="J24" s="26">
        <f t="shared" si="2"/>
        <v>5</v>
      </c>
      <c r="K24" s="26">
        <f t="shared" si="2"/>
        <v>5</v>
      </c>
      <c r="L24" s="60">
        <f t="shared" si="2"/>
        <v>5</v>
      </c>
    </row>
    <row r="25" spans="1:12" ht="13.5">
      <c r="A25" s="51" t="s">
        <v>54</v>
      </c>
      <c r="B25" s="30">
        <f>B24*B23</f>
        <v>0</v>
      </c>
      <c r="C25" s="30">
        <f aca="true" t="shared" si="3" ref="C25:L25">C24*C23</f>
        <v>375</v>
      </c>
      <c r="D25" s="30">
        <f t="shared" si="3"/>
        <v>500</v>
      </c>
      <c r="E25" s="30">
        <f t="shared" si="3"/>
        <v>500</v>
      </c>
      <c r="F25" s="30">
        <f t="shared" si="3"/>
        <v>500</v>
      </c>
      <c r="G25" s="30">
        <f t="shared" si="3"/>
        <v>500</v>
      </c>
      <c r="H25" s="30">
        <f t="shared" si="3"/>
        <v>500</v>
      </c>
      <c r="I25" s="30">
        <f t="shared" si="3"/>
        <v>500</v>
      </c>
      <c r="J25" s="30">
        <f t="shared" si="3"/>
        <v>500</v>
      </c>
      <c r="K25" s="30">
        <f t="shared" si="3"/>
        <v>500</v>
      </c>
      <c r="L25" s="64">
        <f t="shared" si="3"/>
        <v>500</v>
      </c>
    </row>
    <row r="26" spans="1:12" ht="13.5">
      <c r="A26" s="5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2"/>
    </row>
    <row r="27" spans="1:12" ht="13.5">
      <c r="A27" s="51" t="s">
        <v>55</v>
      </c>
      <c r="B27" s="25">
        <f>-C8</f>
        <v>-320</v>
      </c>
      <c r="C27" s="27"/>
      <c r="D27" s="27"/>
      <c r="E27" s="27"/>
      <c r="F27" s="27"/>
      <c r="G27" s="27"/>
      <c r="H27" s="27"/>
      <c r="I27" s="27"/>
      <c r="J27" s="27"/>
      <c r="K27" s="27"/>
      <c r="L27" s="61"/>
    </row>
    <row r="28" spans="1:12" ht="13.5">
      <c r="A28" s="51"/>
      <c r="B28" s="25"/>
      <c r="C28" s="27"/>
      <c r="D28" s="27"/>
      <c r="E28" s="27"/>
      <c r="F28" s="27"/>
      <c r="G28" s="27"/>
      <c r="H28" s="27"/>
      <c r="I28" s="27"/>
      <c r="J28" s="27"/>
      <c r="K28" s="27"/>
      <c r="L28" s="61"/>
    </row>
    <row r="29" spans="1:12" ht="13.5">
      <c r="A29" s="53" t="s">
        <v>56</v>
      </c>
      <c r="B29" s="25"/>
      <c r="C29" s="27"/>
      <c r="D29" s="27"/>
      <c r="E29" s="27"/>
      <c r="F29" s="27"/>
      <c r="G29" s="27"/>
      <c r="H29" s="27"/>
      <c r="I29" s="27"/>
      <c r="J29" s="27"/>
      <c r="K29" s="27"/>
      <c r="L29" s="61"/>
    </row>
    <row r="30" spans="1:12" ht="13.5">
      <c r="A30" s="54" t="s">
        <v>19</v>
      </c>
      <c r="B30" s="26">
        <f>$C11*$C$6*SUM(Этапы!H$42:S$42)/12</f>
        <v>0.11249999999999999</v>
      </c>
      <c r="C30" s="26">
        <f>$C11*$C$6*SUM(Этапы!T42:AE42)/12</f>
        <v>0.44999999999999996</v>
      </c>
      <c r="D30" s="26">
        <f aca="true" t="shared" si="4" ref="D30:L35">$C11*$C$6</f>
        <v>0.44999999999999996</v>
      </c>
      <c r="E30" s="26">
        <f t="shared" si="4"/>
        <v>0.44999999999999996</v>
      </c>
      <c r="F30" s="26">
        <f t="shared" si="4"/>
        <v>0.44999999999999996</v>
      </c>
      <c r="G30" s="26">
        <f t="shared" si="4"/>
        <v>0.44999999999999996</v>
      </c>
      <c r="H30" s="26">
        <f t="shared" si="4"/>
        <v>0.44999999999999996</v>
      </c>
      <c r="I30" s="26">
        <f t="shared" si="4"/>
        <v>0.44999999999999996</v>
      </c>
      <c r="J30" s="26">
        <f t="shared" si="4"/>
        <v>0.44999999999999996</v>
      </c>
      <c r="K30" s="26">
        <f t="shared" si="4"/>
        <v>0.44999999999999996</v>
      </c>
      <c r="L30" s="60">
        <f t="shared" si="4"/>
        <v>0.44999999999999996</v>
      </c>
    </row>
    <row r="31" spans="1:12" ht="13.5">
      <c r="A31" s="54" t="s">
        <v>47</v>
      </c>
      <c r="B31" s="26">
        <f>$C12*$C$6*SUM(Этапы!H43:S43)/12*Этапы!C59</f>
        <v>51.749999999999986</v>
      </c>
      <c r="C31" s="26">
        <f>$C12*$C$6*SUM(Этапы!T43:AE43)/12*Этапы!C59</f>
        <v>103.49999999999997</v>
      </c>
      <c r="D31" s="26">
        <f t="shared" si="4"/>
        <v>103.49999999999999</v>
      </c>
      <c r="E31" s="26">
        <f t="shared" si="4"/>
        <v>103.49999999999999</v>
      </c>
      <c r="F31" s="26">
        <f t="shared" si="4"/>
        <v>103.49999999999999</v>
      </c>
      <c r="G31" s="26">
        <f t="shared" si="4"/>
        <v>103.49999999999999</v>
      </c>
      <c r="H31" s="26">
        <f t="shared" si="4"/>
        <v>103.49999999999999</v>
      </c>
      <c r="I31" s="26">
        <f t="shared" si="4"/>
        <v>103.49999999999999</v>
      </c>
      <c r="J31" s="26">
        <f t="shared" si="4"/>
        <v>103.49999999999999</v>
      </c>
      <c r="K31" s="26">
        <f t="shared" si="4"/>
        <v>103.49999999999999</v>
      </c>
      <c r="L31" s="60">
        <f t="shared" si="4"/>
        <v>103.49999999999999</v>
      </c>
    </row>
    <row r="32" spans="1:12" ht="13.5">
      <c r="A32" s="54" t="s">
        <v>21</v>
      </c>
      <c r="B32" s="26">
        <f>$C13*$C$6*SUM(Этапы!H44:S44)/12</f>
        <v>36.3825</v>
      </c>
      <c r="C32" s="26">
        <f>$C13*$C$6*SUM(Этапы!T44:AE44)/12</f>
        <v>48.51</v>
      </c>
      <c r="D32" s="26">
        <f t="shared" si="4"/>
        <v>48.51</v>
      </c>
      <c r="E32" s="26">
        <f t="shared" si="4"/>
        <v>48.51</v>
      </c>
      <c r="F32" s="26">
        <f t="shared" si="4"/>
        <v>48.51</v>
      </c>
      <c r="G32" s="26">
        <f t="shared" si="4"/>
        <v>48.51</v>
      </c>
      <c r="H32" s="26">
        <f t="shared" si="4"/>
        <v>48.51</v>
      </c>
      <c r="I32" s="26">
        <f t="shared" si="4"/>
        <v>48.51</v>
      </c>
      <c r="J32" s="26">
        <f t="shared" si="4"/>
        <v>48.51</v>
      </c>
      <c r="K32" s="26">
        <f t="shared" si="4"/>
        <v>48.51</v>
      </c>
      <c r="L32" s="60">
        <f t="shared" si="4"/>
        <v>48.51</v>
      </c>
    </row>
    <row r="33" spans="1:12" ht="13.5">
      <c r="A33" s="54" t="s">
        <v>23</v>
      </c>
      <c r="B33" s="26">
        <f>$C14*$C$6*SUM(Этапы!H45:S45)/12</f>
        <v>2.65</v>
      </c>
      <c r="C33" s="26">
        <f>$C14*$C$6*SUM(Этапы!T44:AE44)/12</f>
        <v>10.6</v>
      </c>
      <c r="D33" s="26">
        <f t="shared" si="4"/>
        <v>10.6</v>
      </c>
      <c r="E33" s="26">
        <f t="shared" si="4"/>
        <v>10.6</v>
      </c>
      <c r="F33" s="26">
        <f t="shared" si="4"/>
        <v>10.6</v>
      </c>
      <c r="G33" s="26">
        <f t="shared" si="4"/>
        <v>10.6</v>
      </c>
      <c r="H33" s="26">
        <f t="shared" si="4"/>
        <v>10.6</v>
      </c>
      <c r="I33" s="26">
        <f t="shared" si="4"/>
        <v>10.6</v>
      </c>
      <c r="J33" s="26">
        <f t="shared" si="4"/>
        <v>10.6</v>
      </c>
      <c r="K33" s="26">
        <f t="shared" si="4"/>
        <v>10.6</v>
      </c>
      <c r="L33" s="60">
        <f t="shared" si="4"/>
        <v>10.6</v>
      </c>
    </row>
    <row r="34" spans="1:12" ht="13.5">
      <c r="A34" s="54" t="s">
        <v>49</v>
      </c>
      <c r="B34" s="26">
        <f>$C15*$C$6*SUM(Этапы!H46:S46)/12</f>
        <v>13.200000000000001</v>
      </c>
      <c r="C34" s="26">
        <f>$C15*$C$6*SUM(Этапы!T46:AE46)/12</f>
        <v>52.800000000000004</v>
      </c>
      <c r="D34" s="26">
        <f t="shared" si="4"/>
        <v>52.800000000000004</v>
      </c>
      <c r="E34" s="26">
        <f t="shared" si="4"/>
        <v>52.800000000000004</v>
      </c>
      <c r="F34" s="26">
        <f t="shared" si="4"/>
        <v>52.800000000000004</v>
      </c>
      <c r="G34" s="26">
        <f t="shared" si="4"/>
        <v>52.800000000000004</v>
      </c>
      <c r="H34" s="26">
        <f t="shared" si="4"/>
        <v>52.800000000000004</v>
      </c>
      <c r="I34" s="26">
        <f t="shared" si="4"/>
        <v>52.800000000000004</v>
      </c>
      <c r="J34" s="26">
        <f t="shared" si="4"/>
        <v>52.800000000000004</v>
      </c>
      <c r="K34" s="26">
        <f t="shared" si="4"/>
        <v>52.800000000000004</v>
      </c>
      <c r="L34" s="60">
        <f t="shared" si="4"/>
        <v>52.800000000000004</v>
      </c>
    </row>
    <row r="35" spans="1:12" ht="13.5">
      <c r="A35" s="54" t="s">
        <v>48</v>
      </c>
      <c r="B35" s="26">
        <f>$C16*$C$6*SUM(Этапы!H47:S47)/12</f>
        <v>8.5</v>
      </c>
      <c r="C35" s="26">
        <f>$C16*$C$6*SUM(Этапы!T47:AE47)/12</f>
        <v>34</v>
      </c>
      <c r="D35" s="26">
        <f t="shared" si="4"/>
        <v>34</v>
      </c>
      <c r="E35" s="26">
        <f t="shared" si="4"/>
        <v>34</v>
      </c>
      <c r="F35" s="26">
        <f t="shared" si="4"/>
        <v>34</v>
      </c>
      <c r="G35" s="26">
        <f t="shared" si="4"/>
        <v>34</v>
      </c>
      <c r="H35" s="26">
        <f t="shared" si="4"/>
        <v>34</v>
      </c>
      <c r="I35" s="26">
        <f t="shared" si="4"/>
        <v>34</v>
      </c>
      <c r="J35" s="26">
        <f t="shared" si="4"/>
        <v>34</v>
      </c>
      <c r="K35" s="26">
        <f t="shared" si="4"/>
        <v>34</v>
      </c>
      <c r="L35" s="60">
        <f t="shared" si="4"/>
        <v>34</v>
      </c>
    </row>
    <row r="36" spans="1:12" ht="12.75">
      <c r="A36" s="158"/>
      <c r="L36" s="158"/>
    </row>
    <row r="37" spans="1:12" ht="13.5">
      <c r="A37" s="54" t="s">
        <v>57</v>
      </c>
      <c r="B37" s="26">
        <f>C37</f>
        <v>3.6</v>
      </c>
      <c r="C37" s="26">
        <f>Себестоимость!E43/1000</f>
        <v>3.6</v>
      </c>
      <c r="D37" s="26">
        <f>C37</f>
        <v>3.6</v>
      </c>
      <c r="E37" s="26">
        <f aca="true" t="shared" si="5" ref="E37:L37">D37</f>
        <v>3.6</v>
      </c>
      <c r="F37" s="26">
        <f t="shared" si="5"/>
        <v>3.6</v>
      </c>
      <c r="G37" s="26">
        <f t="shared" si="5"/>
        <v>3.6</v>
      </c>
      <c r="H37" s="26">
        <f t="shared" si="5"/>
        <v>3.6</v>
      </c>
      <c r="I37" s="26">
        <f t="shared" si="5"/>
        <v>3.6</v>
      </c>
      <c r="J37" s="26">
        <f t="shared" si="5"/>
        <v>3.6</v>
      </c>
      <c r="K37" s="26">
        <f t="shared" si="5"/>
        <v>3.6</v>
      </c>
      <c r="L37" s="60">
        <f t="shared" si="5"/>
        <v>3.6</v>
      </c>
    </row>
    <row r="38" spans="1:12" ht="13.5">
      <c r="A38" s="55" t="s">
        <v>58</v>
      </c>
      <c r="B38" s="29">
        <f>SUM(B30:B37)</f>
        <v>116.19499999999998</v>
      </c>
      <c r="C38" s="29">
        <f aca="true" t="shared" si="6" ref="C38:L38">SUM(C30:C37)</f>
        <v>253.45999999999998</v>
      </c>
      <c r="D38" s="29">
        <f t="shared" si="6"/>
        <v>253.45999999999998</v>
      </c>
      <c r="E38" s="29">
        <f t="shared" si="6"/>
        <v>253.45999999999998</v>
      </c>
      <c r="F38" s="29">
        <f t="shared" si="6"/>
        <v>253.45999999999998</v>
      </c>
      <c r="G38" s="29">
        <f t="shared" si="6"/>
        <v>253.45999999999998</v>
      </c>
      <c r="H38" s="29">
        <f t="shared" si="6"/>
        <v>253.45999999999998</v>
      </c>
      <c r="I38" s="29">
        <f t="shared" si="6"/>
        <v>253.45999999999998</v>
      </c>
      <c r="J38" s="29">
        <f t="shared" si="6"/>
        <v>253.45999999999998</v>
      </c>
      <c r="K38" s="29">
        <f t="shared" si="6"/>
        <v>253.45999999999998</v>
      </c>
      <c r="L38" s="63">
        <f t="shared" si="6"/>
        <v>253.45999999999998</v>
      </c>
    </row>
    <row r="39" spans="1:12" ht="13.5">
      <c r="A39" s="5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62"/>
    </row>
    <row r="40" spans="1:12" ht="13.5">
      <c r="A40" s="56" t="s">
        <v>59</v>
      </c>
      <c r="B40" s="30">
        <f>-B38+B27+B25</f>
        <v>-436.195</v>
      </c>
      <c r="C40" s="30">
        <f>-C38+C27+C25</f>
        <v>121.54000000000002</v>
      </c>
      <c r="D40" s="30">
        <f>-D38+D27+D25</f>
        <v>246.54000000000002</v>
      </c>
      <c r="E40" s="30">
        <f>-E38+E27+E25</f>
        <v>246.54000000000002</v>
      </c>
      <c r="F40" s="30">
        <f>-F38+F27+F25</f>
        <v>246.54000000000002</v>
      </c>
      <c r="G40" s="30">
        <f>-G38+G27+G25</f>
        <v>246.54000000000002</v>
      </c>
      <c r="H40" s="30">
        <f>-H38+H27+H25</f>
        <v>246.54000000000002</v>
      </c>
      <c r="I40" s="30">
        <f>-I38+I27+I25</f>
        <v>246.54000000000002</v>
      </c>
      <c r="J40" s="30">
        <f>-J38+J27+J25</f>
        <v>246.54000000000002</v>
      </c>
      <c r="K40" s="30">
        <f>-K38+K27+K25</f>
        <v>246.54000000000002</v>
      </c>
      <c r="L40" s="64">
        <f>-L38+L27+L25</f>
        <v>246.54000000000002</v>
      </c>
    </row>
    <row r="41" spans="1:12" ht="13.5">
      <c r="A41" s="56" t="s">
        <v>60</v>
      </c>
      <c r="B41" s="30">
        <f>B40</f>
        <v>-436.195</v>
      </c>
      <c r="C41" s="30">
        <f>B41+C40</f>
        <v>-314.655</v>
      </c>
      <c r="D41" s="30">
        <f aca="true" t="shared" si="7" ref="D41:L41">C41+D40</f>
        <v>-68.11499999999995</v>
      </c>
      <c r="E41" s="30">
        <f t="shared" si="7"/>
        <v>178.42500000000007</v>
      </c>
      <c r="F41" s="30">
        <f t="shared" si="7"/>
        <v>424.9650000000001</v>
      </c>
      <c r="G41" s="30">
        <f t="shared" si="7"/>
        <v>671.5050000000001</v>
      </c>
      <c r="H41" s="30">
        <f t="shared" si="7"/>
        <v>918.0450000000001</v>
      </c>
      <c r="I41" s="30">
        <f t="shared" si="7"/>
        <v>1164.585</v>
      </c>
      <c r="J41" s="30">
        <f t="shared" si="7"/>
        <v>1411.125</v>
      </c>
      <c r="K41" s="30">
        <f t="shared" si="7"/>
        <v>1657.665</v>
      </c>
      <c r="L41" s="64">
        <f t="shared" si="7"/>
        <v>1904.205</v>
      </c>
    </row>
    <row r="42" spans="1:12" ht="13.5">
      <c r="A42" s="56" t="s">
        <v>61</v>
      </c>
      <c r="B42" s="30">
        <f>B41/(1+$C$5)^B20</f>
        <v>-436.195</v>
      </c>
      <c r="C42" s="30">
        <f>C41/(1+$C$5)^C20</f>
        <v>-294.07009345794387</v>
      </c>
      <c r="D42" s="30">
        <f>D41/(1+$C$5)^D20</f>
        <v>-59.49427897632977</v>
      </c>
      <c r="E42" s="30">
        <f>E41/(1+$C$5)^E20</f>
        <v>145.6479486842503</v>
      </c>
      <c r="F42" s="30">
        <f>F41/(1+$C$5)^F20</f>
        <v>324.2037637877766</v>
      </c>
      <c r="G42" s="30">
        <f>G41/(1+$C$5)^G20</f>
        <v>478.77378445418077</v>
      </c>
      <c r="H42" s="30">
        <f>H41/(1+$C$5)^H20</f>
        <v>611.7321468636303</v>
      </c>
      <c r="I42" s="30">
        <f>I41/(1+$C$5)^I20</f>
        <v>725.2450081526665</v>
      </c>
      <c r="J42" s="30">
        <f>J41/(1+$C$5)^J20</f>
        <v>821.2875976793399</v>
      </c>
      <c r="K42" s="30">
        <f>K41/(1+$C$5)^K20</f>
        <v>901.6599274007517</v>
      </c>
      <c r="L42" s="64">
        <f>L41/(1+$C$5)^L20</f>
        <v>968.0012638293903</v>
      </c>
    </row>
    <row r="43" spans="1:12" ht="13.5">
      <c r="A43" s="190" t="s">
        <v>125</v>
      </c>
      <c r="B43" s="191">
        <f>IRR(B40:L40)</f>
        <v>0.46198071812849517</v>
      </c>
      <c r="C43" s="30"/>
      <c r="D43" s="30"/>
      <c r="E43" s="30"/>
      <c r="F43" s="30"/>
      <c r="G43" s="30"/>
      <c r="H43" s="30"/>
      <c r="I43" s="30"/>
      <c r="J43" s="30"/>
      <c r="K43" s="30"/>
      <c r="L43" s="64"/>
    </row>
    <row r="44" spans="1:12" ht="13.5">
      <c r="A44" s="187" t="s">
        <v>124</v>
      </c>
      <c r="B44" s="188">
        <f>L41</f>
        <v>1904.205</v>
      </c>
      <c r="C44" s="30"/>
      <c r="D44" s="30"/>
      <c r="E44" s="30"/>
      <c r="F44" s="30"/>
      <c r="G44" s="30"/>
      <c r="H44" s="30"/>
      <c r="I44" s="30"/>
      <c r="J44" s="30"/>
      <c r="K44" s="30"/>
      <c r="L44" s="64"/>
    </row>
    <row r="45" spans="1:12" ht="26.25">
      <c r="A45" s="213" t="s">
        <v>138</v>
      </c>
      <c r="B45" s="32">
        <f>L42</f>
        <v>968.0012638293903</v>
      </c>
      <c r="C45" s="33"/>
      <c r="D45" s="33"/>
      <c r="E45" s="33"/>
      <c r="F45" s="33"/>
      <c r="G45" s="33"/>
      <c r="H45" s="33"/>
      <c r="I45" s="33"/>
      <c r="J45" s="33"/>
      <c r="K45" s="33"/>
      <c r="L45" s="65"/>
    </row>
    <row r="48" ht="12.75">
      <c r="A48" s="197" t="s">
        <v>139</v>
      </c>
    </row>
    <row r="49" ht="12.75">
      <c r="A49" s="198" t="s">
        <v>140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63"/>
  <sheetViews>
    <sheetView showGridLines="0" zoomScale="75" zoomScaleNormal="75" workbookViewId="0" topLeftCell="A1">
      <selection activeCell="C71" sqref="C71"/>
    </sheetView>
  </sheetViews>
  <sheetFormatPr defaultColWidth="9.140625" defaultRowHeight="12.75"/>
  <cols>
    <col min="2" max="2" width="30.28125" style="0" customWidth="1"/>
  </cols>
  <sheetData>
    <row r="2" ht="20.25">
      <c r="B2" s="16" t="s">
        <v>64</v>
      </c>
    </row>
    <row r="3" ht="15">
      <c r="A3" s="79"/>
    </row>
    <row r="4" spans="1:23" s="81" customFormat="1" ht="9.75">
      <c r="A4" s="231" t="s">
        <v>65</v>
      </c>
      <c r="B4" s="233" t="s">
        <v>66</v>
      </c>
      <c r="C4" s="231" t="s">
        <v>67</v>
      </c>
      <c r="D4" s="231" t="s">
        <v>68</v>
      </c>
      <c r="E4" s="231" t="s">
        <v>69</v>
      </c>
      <c r="F4" s="82" t="s">
        <v>70</v>
      </c>
      <c r="G4" s="82" t="s">
        <v>70</v>
      </c>
      <c r="H4" s="210" t="s">
        <v>71</v>
      </c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</row>
    <row r="5" spans="1:23" s="81" customFormat="1" ht="9.75">
      <c r="A5" s="232"/>
      <c r="B5" s="234"/>
      <c r="C5" s="232"/>
      <c r="D5" s="232"/>
      <c r="E5" s="232"/>
      <c r="F5" s="82" t="s">
        <v>80</v>
      </c>
      <c r="G5" s="89" t="s">
        <v>114</v>
      </c>
      <c r="H5" s="82">
        <v>1</v>
      </c>
      <c r="I5" s="82">
        <v>2</v>
      </c>
      <c r="J5" s="82">
        <v>3</v>
      </c>
      <c r="K5" s="82">
        <v>4</v>
      </c>
      <c r="L5" s="82">
        <v>5</v>
      </c>
      <c r="M5" s="82">
        <v>6</v>
      </c>
      <c r="N5" s="82">
        <v>7</v>
      </c>
      <c r="O5" s="82">
        <v>8</v>
      </c>
      <c r="P5" s="82">
        <v>9</v>
      </c>
      <c r="Q5" s="90">
        <v>10</v>
      </c>
      <c r="R5" s="82">
        <v>11</v>
      </c>
      <c r="S5" s="82">
        <v>12</v>
      </c>
      <c r="T5" s="82">
        <v>1</v>
      </c>
      <c r="U5" s="82">
        <v>2</v>
      </c>
      <c r="V5" s="82">
        <v>3</v>
      </c>
      <c r="W5" s="82">
        <v>4</v>
      </c>
    </row>
    <row r="6" spans="1:23" ht="13.5" thickBot="1">
      <c r="A6" s="171" t="s">
        <v>72</v>
      </c>
      <c r="B6" s="124" t="s">
        <v>81</v>
      </c>
      <c r="C6" s="176">
        <f>4*30</f>
        <v>120</v>
      </c>
      <c r="D6" s="176"/>
      <c r="E6" s="125"/>
      <c r="F6" s="126">
        <f>F7+F8+F9</f>
        <v>20000</v>
      </c>
      <c r="G6" s="119"/>
      <c r="H6" s="91"/>
      <c r="I6" s="91"/>
      <c r="J6" s="91"/>
      <c r="K6" s="91"/>
      <c r="L6" s="92"/>
      <c r="M6" s="92"/>
      <c r="N6" s="92"/>
      <c r="O6" s="107"/>
      <c r="P6" s="107"/>
      <c r="Q6" s="158"/>
      <c r="R6" s="93"/>
      <c r="S6" s="93"/>
      <c r="T6" s="93"/>
      <c r="U6" s="93"/>
      <c r="V6" s="93"/>
      <c r="W6" s="93"/>
    </row>
    <row r="7" spans="1:23" ht="21" thickBot="1" thickTop="1">
      <c r="A7" s="172" t="s">
        <v>73</v>
      </c>
      <c r="B7" s="127" t="s">
        <v>93</v>
      </c>
      <c r="C7" s="133"/>
      <c r="D7" s="133"/>
      <c r="E7" s="128"/>
      <c r="F7" s="152">
        <f>Себестоимость!B21</f>
        <v>10000</v>
      </c>
      <c r="G7" s="120"/>
      <c r="H7" s="94"/>
      <c r="I7" s="95"/>
      <c r="J7" s="95"/>
      <c r="K7" s="95"/>
      <c r="L7" s="97"/>
      <c r="M7" s="97"/>
      <c r="N7" s="97"/>
      <c r="O7" s="98"/>
      <c r="P7" s="98"/>
      <c r="Q7" s="158"/>
      <c r="R7" s="93"/>
      <c r="S7" s="93"/>
      <c r="T7" s="93"/>
      <c r="U7" s="93"/>
      <c r="V7" s="93"/>
      <c r="W7" s="93"/>
    </row>
    <row r="8" spans="1:23" ht="21" thickBot="1" thickTop="1">
      <c r="A8" s="172" t="s">
        <v>74</v>
      </c>
      <c r="B8" s="127" t="s">
        <v>100</v>
      </c>
      <c r="C8" s="133"/>
      <c r="D8" s="133"/>
      <c r="E8" s="128"/>
      <c r="F8" s="152">
        <f>Себестоимость!B22*(1-0.9)</f>
        <v>999.9999999999998</v>
      </c>
      <c r="G8" s="120"/>
      <c r="H8" s="94"/>
      <c r="I8" s="95"/>
      <c r="J8" s="95"/>
      <c r="K8" s="95"/>
      <c r="L8" s="97"/>
      <c r="M8" s="97"/>
      <c r="N8" s="97"/>
      <c r="O8" s="98"/>
      <c r="P8" s="98"/>
      <c r="Q8" s="158"/>
      <c r="R8" s="93"/>
      <c r="S8" s="93"/>
      <c r="T8" s="93"/>
      <c r="U8" s="93"/>
      <c r="V8" s="93"/>
      <c r="W8" s="93"/>
    </row>
    <row r="9" spans="1:32" s="84" customFormat="1" ht="21" thickTop="1">
      <c r="A9" s="173" t="s">
        <v>74</v>
      </c>
      <c r="B9" s="129" t="s">
        <v>101</v>
      </c>
      <c r="C9" s="179"/>
      <c r="D9" s="179"/>
      <c r="E9" s="130"/>
      <c r="F9" s="153">
        <f>Себестоимость!B22-Этапы!F8</f>
        <v>9000</v>
      </c>
      <c r="G9" s="121"/>
      <c r="H9" s="110"/>
      <c r="I9" s="111"/>
      <c r="J9" s="111"/>
      <c r="K9" s="111"/>
      <c r="L9" s="110"/>
      <c r="M9" s="110"/>
      <c r="N9" s="110"/>
      <c r="O9" s="112"/>
      <c r="P9" s="112"/>
      <c r="Q9" s="159"/>
      <c r="R9" s="109"/>
      <c r="S9" s="109"/>
      <c r="T9" s="109"/>
      <c r="U9" s="109"/>
      <c r="V9" s="109"/>
      <c r="W9" s="109"/>
      <c r="X9" s="123"/>
      <c r="Y9" s="83"/>
      <c r="Z9" s="83"/>
      <c r="AA9" s="83"/>
      <c r="AB9" s="83"/>
      <c r="AC9" s="83"/>
      <c r="AD9" s="83"/>
      <c r="AE9" s="83"/>
      <c r="AF9" s="83"/>
    </row>
    <row r="10" spans="1:32" ht="13.5" thickBot="1">
      <c r="A10" s="171" t="s">
        <v>75</v>
      </c>
      <c r="B10" s="124" t="s">
        <v>83</v>
      </c>
      <c r="C10" s="171">
        <f>5*30</f>
        <v>150</v>
      </c>
      <c r="D10" s="171"/>
      <c r="E10" s="131"/>
      <c r="F10" s="132">
        <f>Себестоимость!B26</f>
        <v>180000</v>
      </c>
      <c r="G10" s="106"/>
      <c r="H10" s="99"/>
      <c r="I10" s="99"/>
      <c r="J10" s="99"/>
      <c r="K10" s="100"/>
      <c r="L10" s="100"/>
      <c r="M10" s="100"/>
      <c r="N10" s="100"/>
      <c r="O10" s="101"/>
      <c r="P10" s="144"/>
      <c r="Q10" s="158"/>
      <c r="R10" s="93"/>
      <c r="S10" s="93"/>
      <c r="T10" s="93"/>
      <c r="U10" s="93"/>
      <c r="V10" s="93"/>
      <c r="W10" s="93"/>
      <c r="X10" s="123"/>
      <c r="Y10" s="83"/>
      <c r="Z10" s="83"/>
      <c r="AA10" s="83"/>
      <c r="AB10" s="83"/>
      <c r="AC10" s="83"/>
      <c r="AD10" s="83"/>
      <c r="AE10" s="83"/>
      <c r="AF10" s="83"/>
    </row>
    <row r="11" spans="1:32" ht="13.5" thickTop="1">
      <c r="A11" s="174" t="s">
        <v>86</v>
      </c>
      <c r="B11" s="127" t="s">
        <v>84</v>
      </c>
      <c r="C11" s="133"/>
      <c r="D11" s="133"/>
      <c r="E11" s="128"/>
      <c r="F11" s="133"/>
      <c r="G11" s="120"/>
      <c r="H11" s="95"/>
      <c r="I11" s="93"/>
      <c r="J11" s="95"/>
      <c r="K11" s="102"/>
      <c r="M11" s="96"/>
      <c r="N11" s="96"/>
      <c r="O11" s="98"/>
      <c r="P11" s="98"/>
      <c r="Q11" s="158"/>
      <c r="R11" s="93"/>
      <c r="S11" s="93"/>
      <c r="T11" s="93"/>
      <c r="U11" s="93"/>
      <c r="V11" s="93"/>
      <c r="W11" s="93"/>
      <c r="X11" s="123"/>
      <c r="Y11" s="83"/>
      <c r="Z11" s="83"/>
      <c r="AA11" s="83"/>
      <c r="AB11" s="83"/>
      <c r="AC11" s="83"/>
      <c r="AD11" s="83"/>
      <c r="AE11" s="83"/>
      <c r="AF11" s="83"/>
    </row>
    <row r="12" spans="1:24" s="83" customFormat="1" ht="12.75">
      <c r="A12" s="175" t="s">
        <v>87</v>
      </c>
      <c r="B12" s="134" t="s">
        <v>85</v>
      </c>
      <c r="C12" s="180"/>
      <c r="D12" s="180"/>
      <c r="E12" s="135"/>
      <c r="F12" s="136"/>
      <c r="G12" s="122"/>
      <c r="H12" s="97"/>
      <c r="I12" s="97"/>
      <c r="J12" s="97"/>
      <c r="K12" s="97"/>
      <c r="L12" s="103"/>
      <c r="N12" s="95"/>
      <c r="O12" s="98"/>
      <c r="P12" s="98"/>
      <c r="Q12" s="158"/>
      <c r="R12" s="93"/>
      <c r="S12" s="93"/>
      <c r="T12" s="93"/>
      <c r="U12" s="93"/>
      <c r="V12" s="93"/>
      <c r="W12" s="93"/>
      <c r="X12" s="123"/>
    </row>
    <row r="13" spans="1:24" s="83" customFormat="1" ht="12.75">
      <c r="A13" s="175" t="s">
        <v>88</v>
      </c>
      <c r="B13" s="134" t="s">
        <v>29</v>
      </c>
      <c r="C13" s="180"/>
      <c r="D13" s="180"/>
      <c r="E13" s="135"/>
      <c r="F13" s="136"/>
      <c r="G13" s="122"/>
      <c r="H13" s="97"/>
      <c r="I13" s="97"/>
      <c r="J13" s="97"/>
      <c r="K13" s="97"/>
      <c r="L13" s="97"/>
      <c r="M13" s="104"/>
      <c r="N13" s="104"/>
      <c r="O13" s="143"/>
      <c r="P13" s="96"/>
      <c r="Q13" s="158"/>
      <c r="R13" s="93"/>
      <c r="S13" s="93"/>
      <c r="T13" s="93"/>
      <c r="U13" s="93"/>
      <c r="V13" s="93"/>
      <c r="W13" s="93"/>
      <c r="X13" s="123"/>
    </row>
    <row r="14" spans="1:24" s="83" customFormat="1" ht="12.75">
      <c r="A14" s="175" t="s">
        <v>89</v>
      </c>
      <c r="B14" s="134" t="s">
        <v>90</v>
      </c>
      <c r="C14" s="180"/>
      <c r="D14" s="180"/>
      <c r="E14" s="135"/>
      <c r="F14" s="136"/>
      <c r="G14" s="122"/>
      <c r="H14" s="97"/>
      <c r="I14" s="97"/>
      <c r="J14" s="97"/>
      <c r="K14" s="97"/>
      <c r="L14" s="97"/>
      <c r="M14" s="97"/>
      <c r="N14" s="95"/>
      <c r="O14" s="105"/>
      <c r="P14" s="93"/>
      <c r="Q14" s="158"/>
      <c r="R14" s="93"/>
      <c r="S14" s="93"/>
      <c r="T14" s="93"/>
      <c r="U14" s="93"/>
      <c r="V14" s="93"/>
      <c r="W14" s="93"/>
      <c r="X14" s="123"/>
    </row>
    <row r="15" spans="1:23" ht="20.25">
      <c r="A15" s="175" t="s">
        <v>92</v>
      </c>
      <c r="B15" s="134" t="s">
        <v>76</v>
      </c>
      <c r="C15" s="178"/>
      <c r="D15" s="178"/>
      <c r="E15" s="141"/>
      <c r="F15" s="145"/>
      <c r="G15" s="146"/>
      <c r="H15" s="146"/>
      <c r="I15" s="146"/>
      <c r="J15" s="146"/>
      <c r="K15" s="146"/>
      <c r="M15" s="147"/>
      <c r="N15" s="147"/>
      <c r="O15" s="148"/>
      <c r="P15" s="148"/>
      <c r="Q15" s="159"/>
      <c r="R15" s="109"/>
      <c r="S15" s="109"/>
      <c r="T15" s="109"/>
      <c r="U15" s="109"/>
      <c r="V15" s="109"/>
      <c r="W15" s="109"/>
    </row>
    <row r="16" spans="1:23" s="83" customFormat="1" ht="12.75">
      <c r="A16" s="176" t="s">
        <v>77</v>
      </c>
      <c r="B16" s="150" t="s">
        <v>82</v>
      </c>
      <c r="C16" s="176">
        <f>3*30</f>
        <v>90</v>
      </c>
      <c r="D16" s="176"/>
      <c r="E16" s="125"/>
      <c r="F16" s="126">
        <f>F17+F18</f>
        <v>120000</v>
      </c>
      <c r="G16" s="119"/>
      <c r="H16" s="151"/>
      <c r="I16" s="151"/>
      <c r="J16" s="163"/>
      <c r="K16" s="163"/>
      <c r="L16" s="156"/>
      <c r="M16" s="156"/>
      <c r="N16" s="156"/>
      <c r="O16" s="181"/>
      <c r="P16" s="163"/>
      <c r="Q16" s="157"/>
      <c r="R16" s="151"/>
      <c r="S16" s="151"/>
      <c r="T16" s="151"/>
      <c r="U16" s="151"/>
      <c r="V16" s="151"/>
      <c r="W16" s="151"/>
    </row>
    <row r="17" spans="1:24" s="83" customFormat="1" ht="13.5" thickBot="1">
      <c r="A17" s="175" t="s">
        <v>95</v>
      </c>
      <c r="B17" s="134" t="s">
        <v>96</v>
      </c>
      <c r="C17" s="180"/>
      <c r="D17" s="180"/>
      <c r="E17" s="135"/>
      <c r="F17" s="154">
        <f>Себестоимость!B23+Себестоимость!B24</f>
        <v>110000</v>
      </c>
      <c r="G17" s="122"/>
      <c r="H17" s="97"/>
      <c r="I17" s="97"/>
      <c r="J17" s="149"/>
      <c r="K17" s="149"/>
      <c r="L17" s="97"/>
      <c r="M17" s="97"/>
      <c r="N17" s="97"/>
      <c r="O17" s="15"/>
      <c r="P17" s="96"/>
      <c r="Q17" s="158"/>
      <c r="R17" s="93"/>
      <c r="S17" s="93"/>
      <c r="T17" s="93"/>
      <c r="U17" s="93"/>
      <c r="V17" s="93"/>
      <c r="W17" s="93"/>
      <c r="X17" s="123"/>
    </row>
    <row r="18" spans="1:32" ht="13.5" thickTop="1">
      <c r="A18" s="174" t="s">
        <v>94</v>
      </c>
      <c r="B18" s="127" t="s">
        <v>97</v>
      </c>
      <c r="C18" s="133"/>
      <c r="D18" s="133"/>
      <c r="E18" s="128"/>
      <c r="F18" s="155">
        <f>Себестоимость!B25</f>
        <v>10000</v>
      </c>
      <c r="G18" s="120"/>
      <c r="H18" s="95"/>
      <c r="I18" s="93"/>
      <c r="J18" s="95"/>
      <c r="K18" s="97"/>
      <c r="M18" s="96"/>
      <c r="N18" s="96"/>
      <c r="O18" s="98"/>
      <c r="P18" s="161"/>
      <c r="Q18" s="160"/>
      <c r="R18" s="109"/>
      <c r="S18" s="93"/>
      <c r="T18" s="93"/>
      <c r="U18" s="93"/>
      <c r="V18" s="93"/>
      <c r="W18" s="93"/>
      <c r="X18" s="123"/>
      <c r="Y18" s="83"/>
      <c r="Z18" s="83"/>
      <c r="AA18" s="83"/>
      <c r="AB18" s="83"/>
      <c r="AC18" s="83"/>
      <c r="AD18" s="83"/>
      <c r="AE18" s="83"/>
      <c r="AF18" s="83"/>
    </row>
    <row r="19" spans="1:23" ht="12.75">
      <c r="A19" s="177" t="s">
        <v>78</v>
      </c>
      <c r="B19" s="137" t="s">
        <v>91</v>
      </c>
      <c r="C19" s="177">
        <f>1*30</f>
        <v>30</v>
      </c>
      <c r="D19" s="177"/>
      <c r="E19" s="138"/>
      <c r="F19" s="139"/>
      <c r="G19" s="113"/>
      <c r="H19" s="113"/>
      <c r="I19" s="113"/>
      <c r="J19" s="113"/>
      <c r="K19" s="113"/>
      <c r="L19" s="113"/>
      <c r="M19" s="1"/>
      <c r="N19" s="1"/>
      <c r="O19" s="114"/>
      <c r="P19" s="113"/>
      <c r="Q19" s="115"/>
      <c r="S19" s="1"/>
      <c r="T19" s="1"/>
      <c r="U19" s="1"/>
      <c r="V19" s="1"/>
      <c r="W19" s="1"/>
    </row>
    <row r="20" spans="1:23" ht="12.75">
      <c r="A20" s="178" t="s">
        <v>79</v>
      </c>
      <c r="B20" s="140" t="s">
        <v>98</v>
      </c>
      <c r="C20" s="178"/>
      <c r="D20" s="178"/>
      <c r="E20" s="141"/>
      <c r="F20" s="142"/>
      <c r="G20" s="108"/>
      <c r="H20" s="116"/>
      <c r="I20" s="116"/>
      <c r="J20" s="116"/>
      <c r="K20" s="116"/>
      <c r="L20" s="116"/>
      <c r="M20" s="116"/>
      <c r="N20" s="116"/>
      <c r="O20" s="117"/>
      <c r="P20" s="117"/>
      <c r="Q20" s="1"/>
      <c r="R20" s="1"/>
      <c r="S20" s="1"/>
      <c r="T20" s="1"/>
      <c r="U20" s="1"/>
      <c r="V20" s="118"/>
      <c r="W20" s="162"/>
    </row>
    <row r="22" spans="1:13" s="81" customFormat="1" ht="22.5" customHeight="1">
      <c r="A22" s="231" t="s">
        <v>65</v>
      </c>
      <c r="B22" s="233" t="s">
        <v>66</v>
      </c>
      <c r="C22" s="211" t="s">
        <v>71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2"/>
    </row>
    <row r="23" spans="1:13" s="81" customFormat="1" ht="9.75">
      <c r="A23" s="232"/>
      <c r="B23" s="234"/>
      <c r="C23" s="82">
        <v>6</v>
      </c>
      <c r="D23" s="82">
        <v>7</v>
      </c>
      <c r="E23" s="82">
        <v>8</v>
      </c>
      <c r="F23" s="82">
        <v>9</v>
      </c>
      <c r="G23" s="90">
        <v>10</v>
      </c>
      <c r="H23" s="82">
        <v>11</v>
      </c>
      <c r="I23" s="82">
        <v>12</v>
      </c>
      <c r="J23" s="82">
        <v>1</v>
      </c>
      <c r="K23" s="82">
        <v>2</v>
      </c>
      <c r="L23" s="82">
        <v>3</v>
      </c>
      <c r="M23" s="82">
        <v>4</v>
      </c>
    </row>
    <row r="24" spans="1:13" ht="13.5" thickBot="1">
      <c r="A24" s="171" t="s">
        <v>72</v>
      </c>
      <c r="B24" s="124" t="s">
        <v>81</v>
      </c>
      <c r="C24" s="92"/>
      <c r="D24" s="92"/>
      <c r="E24" s="107"/>
      <c r="F24" s="107"/>
      <c r="G24" s="158"/>
      <c r="H24" s="93"/>
      <c r="I24" s="93"/>
      <c r="J24" s="93"/>
      <c r="K24" s="93"/>
      <c r="L24" s="93"/>
      <c r="M24" s="93"/>
    </row>
    <row r="25" spans="1:13" ht="21" thickBot="1" thickTop="1">
      <c r="A25" s="172" t="s">
        <v>73</v>
      </c>
      <c r="B25" s="127" t="s">
        <v>93</v>
      </c>
      <c r="C25" s="97"/>
      <c r="D25" s="97"/>
      <c r="E25" s="98"/>
      <c r="F25" s="98"/>
      <c r="G25" s="158"/>
      <c r="H25" s="93"/>
      <c r="I25" s="93"/>
      <c r="J25" s="93"/>
      <c r="K25" s="93"/>
      <c r="L25" s="93"/>
      <c r="M25" s="93"/>
    </row>
    <row r="26" spans="1:13" ht="21" thickTop="1">
      <c r="A26" s="172" t="s">
        <v>74</v>
      </c>
      <c r="B26" s="127" t="s">
        <v>100</v>
      </c>
      <c r="C26" s="97"/>
      <c r="D26" s="97"/>
      <c r="E26" s="98"/>
      <c r="F26" s="98"/>
      <c r="G26" s="158"/>
      <c r="H26" s="93"/>
      <c r="I26" s="93"/>
      <c r="J26" s="93"/>
      <c r="K26" s="93"/>
      <c r="L26" s="93"/>
      <c r="M26" s="93"/>
    </row>
    <row r="27" spans="1:22" s="84" customFormat="1" ht="20.25">
      <c r="A27" s="173" t="s">
        <v>74</v>
      </c>
      <c r="B27" s="129" t="s">
        <v>101</v>
      </c>
      <c r="C27" s="110"/>
      <c r="D27" s="110"/>
      <c r="E27" s="112"/>
      <c r="F27" s="112"/>
      <c r="G27" s="159"/>
      <c r="H27" s="109"/>
      <c r="I27" s="109"/>
      <c r="J27" s="109"/>
      <c r="K27" s="109"/>
      <c r="L27" s="109"/>
      <c r="M27" s="109"/>
      <c r="N27" s="123"/>
      <c r="O27" s="83"/>
      <c r="P27" s="83"/>
      <c r="Q27" s="83"/>
      <c r="R27" s="83"/>
      <c r="S27" s="83"/>
      <c r="T27" s="83"/>
      <c r="U27" s="83"/>
      <c r="V27" s="83"/>
    </row>
    <row r="28" spans="1:22" ht="13.5" thickBot="1">
      <c r="A28" s="171" t="s">
        <v>75</v>
      </c>
      <c r="B28" s="124" t="s">
        <v>83</v>
      </c>
      <c r="C28" s="100"/>
      <c r="D28" s="100"/>
      <c r="E28" s="101"/>
      <c r="F28" s="144"/>
      <c r="G28" s="158"/>
      <c r="H28" s="93"/>
      <c r="I28" s="93"/>
      <c r="J28" s="93"/>
      <c r="K28" s="93"/>
      <c r="L28" s="93"/>
      <c r="M28" s="93"/>
      <c r="N28" s="123"/>
      <c r="O28" s="83"/>
      <c r="P28" s="83"/>
      <c r="Q28" s="83"/>
      <c r="R28" s="83"/>
      <c r="S28" s="83"/>
      <c r="T28" s="83"/>
      <c r="U28" s="83"/>
      <c r="V28" s="83"/>
    </row>
    <row r="29" spans="1:22" ht="13.5" thickTop="1">
      <c r="A29" s="174" t="s">
        <v>86</v>
      </c>
      <c r="B29" s="127" t="s">
        <v>84</v>
      </c>
      <c r="C29" s="96"/>
      <c r="D29" s="96"/>
      <c r="E29" s="98"/>
      <c r="F29" s="98"/>
      <c r="G29" s="158"/>
      <c r="H29" s="93"/>
      <c r="I29" s="93"/>
      <c r="J29" s="93"/>
      <c r="K29" s="93"/>
      <c r="L29" s="93"/>
      <c r="M29" s="93"/>
      <c r="N29" s="123"/>
      <c r="O29" s="83"/>
      <c r="P29" s="83"/>
      <c r="Q29" s="83"/>
      <c r="R29" s="83"/>
      <c r="S29" s="83"/>
      <c r="T29" s="83"/>
      <c r="U29" s="83"/>
      <c r="V29" s="83"/>
    </row>
    <row r="30" spans="1:14" s="83" customFormat="1" ht="12.75">
      <c r="A30" s="175" t="s">
        <v>87</v>
      </c>
      <c r="B30" s="134" t="s">
        <v>85</v>
      </c>
      <c r="D30" s="95"/>
      <c r="E30" s="98"/>
      <c r="F30" s="98"/>
      <c r="G30" s="158"/>
      <c r="H30" s="93"/>
      <c r="I30" s="93"/>
      <c r="J30" s="93"/>
      <c r="K30" s="93"/>
      <c r="L30" s="93"/>
      <c r="M30" s="93"/>
      <c r="N30" s="123"/>
    </row>
    <row r="31" spans="1:14" s="83" customFormat="1" ht="12.75">
      <c r="A31" s="175" t="s">
        <v>88</v>
      </c>
      <c r="B31" s="134" t="s">
        <v>29</v>
      </c>
      <c r="C31" s="104"/>
      <c r="D31" s="104"/>
      <c r="E31" s="143"/>
      <c r="F31" s="96"/>
      <c r="G31" s="158"/>
      <c r="H31" s="93"/>
      <c r="I31" s="93"/>
      <c r="J31" s="93"/>
      <c r="K31" s="93"/>
      <c r="L31" s="93"/>
      <c r="M31" s="93"/>
      <c r="N31" s="123"/>
    </row>
    <row r="32" spans="1:14" s="83" customFormat="1" ht="12.75">
      <c r="A32" s="175" t="s">
        <v>89</v>
      </c>
      <c r="B32" s="134" t="s">
        <v>90</v>
      </c>
      <c r="C32" s="97"/>
      <c r="D32" s="95"/>
      <c r="E32" s="105"/>
      <c r="F32" s="93"/>
      <c r="G32" s="158"/>
      <c r="H32" s="93"/>
      <c r="I32" s="93"/>
      <c r="J32" s="93"/>
      <c r="K32" s="93"/>
      <c r="L32" s="93"/>
      <c r="M32" s="93"/>
      <c r="N32" s="123"/>
    </row>
    <row r="33" spans="1:13" ht="20.25">
      <c r="A33" s="175" t="s">
        <v>92</v>
      </c>
      <c r="B33" s="134" t="s">
        <v>76</v>
      </c>
      <c r="C33" s="147"/>
      <c r="D33" s="147"/>
      <c r="E33" s="148"/>
      <c r="F33" s="148"/>
      <c r="G33" s="159"/>
      <c r="H33" s="109"/>
      <c r="I33" s="109"/>
      <c r="J33" s="109"/>
      <c r="K33" s="109"/>
      <c r="L33" s="109"/>
      <c r="M33" s="109"/>
    </row>
    <row r="34" spans="1:13" s="83" customFormat="1" ht="12.75">
      <c r="A34" s="176" t="s">
        <v>77</v>
      </c>
      <c r="B34" s="150" t="s">
        <v>82</v>
      </c>
      <c r="C34" s="156"/>
      <c r="D34" s="156"/>
      <c r="E34" s="181"/>
      <c r="F34" s="163"/>
      <c r="G34" s="157"/>
      <c r="H34" s="151"/>
      <c r="I34" s="151"/>
      <c r="J34" s="151"/>
      <c r="K34" s="151"/>
      <c r="L34" s="151"/>
      <c r="M34" s="151"/>
    </row>
    <row r="35" spans="1:14" s="83" customFormat="1" ht="13.5" thickBot="1">
      <c r="A35" s="175" t="s">
        <v>95</v>
      </c>
      <c r="B35" s="134" t="s">
        <v>96</v>
      </c>
      <c r="C35" s="97"/>
      <c r="D35" s="97"/>
      <c r="E35" s="15"/>
      <c r="F35" s="96"/>
      <c r="G35" s="158"/>
      <c r="H35" s="93"/>
      <c r="I35" s="93"/>
      <c r="J35" s="93"/>
      <c r="K35" s="93"/>
      <c r="L35" s="93"/>
      <c r="M35" s="93"/>
      <c r="N35" s="123"/>
    </row>
    <row r="36" spans="1:22" ht="13.5" thickTop="1">
      <c r="A36" s="174" t="s">
        <v>94</v>
      </c>
      <c r="B36" s="127" t="s">
        <v>97</v>
      </c>
      <c r="C36" s="96"/>
      <c r="D36" s="96"/>
      <c r="E36" s="98"/>
      <c r="F36" s="161"/>
      <c r="G36" s="160"/>
      <c r="H36" s="109"/>
      <c r="I36" s="93"/>
      <c r="J36" s="93"/>
      <c r="K36" s="93"/>
      <c r="L36" s="93"/>
      <c r="M36" s="93"/>
      <c r="N36" s="123"/>
      <c r="O36" s="83"/>
      <c r="P36" s="83"/>
      <c r="Q36" s="83"/>
      <c r="R36" s="83"/>
      <c r="S36" s="83"/>
      <c r="T36" s="83"/>
      <c r="U36" s="83"/>
      <c r="V36" s="83"/>
    </row>
    <row r="37" spans="1:13" ht="12.75">
      <c r="A37" s="177" t="s">
        <v>78</v>
      </c>
      <c r="B37" s="137" t="s">
        <v>91</v>
      </c>
      <c r="C37" s="1"/>
      <c r="D37" s="1"/>
      <c r="E37" s="114"/>
      <c r="F37" s="113"/>
      <c r="G37" s="115"/>
      <c r="I37" s="1"/>
      <c r="J37" s="1"/>
      <c r="K37" s="1"/>
      <c r="L37" s="1"/>
      <c r="M37" s="1"/>
    </row>
    <row r="38" spans="1:13" ht="12.75">
      <c r="A38" s="178" t="s">
        <v>79</v>
      </c>
      <c r="B38" s="140" t="s">
        <v>98</v>
      </c>
      <c r="C38" s="116"/>
      <c r="D38" s="116"/>
      <c r="E38" s="117"/>
      <c r="F38" s="117"/>
      <c r="G38" s="1"/>
      <c r="H38" s="1"/>
      <c r="I38" s="1"/>
      <c r="J38" s="1"/>
      <c r="K38" s="1"/>
      <c r="L38" s="118"/>
      <c r="M38" s="162"/>
    </row>
    <row r="39" spans="3:16" ht="13.5" thickBot="1">
      <c r="C39" s="85"/>
      <c r="D39" s="85"/>
      <c r="E39" s="85"/>
      <c r="F39" s="164"/>
      <c r="G39" s="86"/>
      <c r="H39" s="86"/>
      <c r="I39" s="86"/>
      <c r="J39" s="86"/>
      <c r="K39" s="86"/>
      <c r="L39" s="86"/>
      <c r="M39" s="86"/>
      <c r="N39" s="80"/>
      <c r="O39" s="87"/>
      <c r="P39" s="88"/>
    </row>
    <row r="40" spans="1:23" ht="21" thickTop="1">
      <c r="A40" s="199"/>
      <c r="B40" s="16" t="s">
        <v>132</v>
      </c>
      <c r="C40" s="199"/>
      <c r="D40" s="199"/>
      <c r="E40" s="199"/>
      <c r="F40" s="200"/>
      <c r="G40" s="86"/>
      <c r="H40" s="86"/>
      <c r="I40" s="86"/>
      <c r="J40" s="86"/>
      <c r="K40" s="86"/>
      <c r="L40" s="86"/>
      <c r="M40" s="86"/>
      <c r="N40" s="86"/>
      <c r="O40" s="201"/>
      <c r="P40" s="201"/>
      <c r="Q40" s="83"/>
      <c r="R40" s="83"/>
      <c r="S40" s="83"/>
      <c r="T40" s="83"/>
      <c r="U40" s="83"/>
      <c r="V40" s="15"/>
      <c r="W40" s="15"/>
    </row>
    <row r="41" spans="3:31" ht="12.75">
      <c r="C41" s="85"/>
      <c r="D41" s="85"/>
      <c r="E41" s="85"/>
      <c r="F41" s="164"/>
      <c r="G41" s="86"/>
      <c r="H41" s="82">
        <v>1</v>
      </c>
      <c r="I41" s="82">
        <v>2</v>
      </c>
      <c r="J41" s="82">
        <v>3</v>
      </c>
      <c r="K41" s="82">
        <v>4</v>
      </c>
      <c r="L41" s="82">
        <v>5</v>
      </c>
      <c r="M41" s="82">
        <v>6</v>
      </c>
      <c r="N41" s="82">
        <v>7</v>
      </c>
      <c r="O41" s="82">
        <v>8</v>
      </c>
      <c r="P41" s="82">
        <v>9</v>
      </c>
      <c r="Q41" s="90">
        <v>10</v>
      </c>
      <c r="R41" s="82">
        <v>11</v>
      </c>
      <c r="S41" s="82">
        <v>12</v>
      </c>
      <c r="T41" s="82">
        <v>1</v>
      </c>
      <c r="U41" s="82">
        <v>2</v>
      </c>
      <c r="V41" s="82">
        <v>3</v>
      </c>
      <c r="W41" s="82">
        <v>4</v>
      </c>
      <c r="X41" s="202">
        <v>5</v>
      </c>
      <c r="Y41" s="202">
        <v>6</v>
      </c>
      <c r="Z41" s="202">
        <v>7</v>
      </c>
      <c r="AA41" s="202">
        <v>8</v>
      </c>
      <c r="AB41" s="202">
        <v>9</v>
      </c>
      <c r="AC41" s="202">
        <v>10</v>
      </c>
      <c r="AD41" s="202">
        <v>11</v>
      </c>
      <c r="AE41" s="202">
        <v>12</v>
      </c>
    </row>
    <row r="42" spans="1:31" ht="12.75">
      <c r="A42" s="177" t="s">
        <v>72</v>
      </c>
      <c r="B42" s="137" t="str">
        <f>Себестоимость!A33</f>
        <v>Вода</v>
      </c>
      <c r="C42" s="177"/>
      <c r="D42" s="177"/>
      <c r="E42" s="138"/>
      <c r="F42" s="139"/>
      <c r="G42" s="113"/>
      <c r="H42" s="203">
        <v>0</v>
      </c>
      <c r="I42" s="203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1</v>
      </c>
      <c r="R42" s="204">
        <v>1</v>
      </c>
      <c r="S42" s="204">
        <v>1</v>
      </c>
      <c r="T42" s="204">
        <v>1</v>
      </c>
      <c r="U42" s="204">
        <v>1</v>
      </c>
      <c r="V42" s="204">
        <v>1</v>
      </c>
      <c r="W42" s="204">
        <v>1</v>
      </c>
      <c r="X42" s="205">
        <v>1</v>
      </c>
      <c r="Y42" s="205">
        <v>1</v>
      </c>
      <c r="Z42" s="205">
        <v>1</v>
      </c>
      <c r="AA42" s="205">
        <v>1</v>
      </c>
      <c r="AB42" s="205">
        <v>1</v>
      </c>
      <c r="AC42" s="205">
        <v>1</v>
      </c>
      <c r="AD42" s="205">
        <v>1</v>
      </c>
      <c r="AE42" s="205">
        <v>1</v>
      </c>
    </row>
    <row r="43" spans="1:31" ht="24">
      <c r="A43" s="178" t="s">
        <v>75</v>
      </c>
      <c r="B43" s="137" t="str">
        <f>Себестоимость!A34</f>
        <v>Корм (кормовой коэффициент 0,85)</v>
      </c>
      <c r="C43" s="178"/>
      <c r="D43" s="178"/>
      <c r="E43" s="141"/>
      <c r="F43" s="145"/>
      <c r="G43" s="146"/>
      <c r="H43" s="206">
        <v>0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1</v>
      </c>
      <c r="P43" s="206">
        <v>0</v>
      </c>
      <c r="Q43" s="204">
        <v>0</v>
      </c>
      <c r="R43" s="204">
        <v>1</v>
      </c>
      <c r="S43" s="204">
        <v>0</v>
      </c>
      <c r="T43" s="204">
        <v>0</v>
      </c>
      <c r="U43" s="204">
        <v>1</v>
      </c>
      <c r="V43" s="204">
        <v>0</v>
      </c>
      <c r="W43" s="204">
        <v>0</v>
      </c>
      <c r="X43" s="205">
        <v>1</v>
      </c>
      <c r="Y43" s="205">
        <v>0</v>
      </c>
      <c r="Z43" s="205">
        <v>0</v>
      </c>
      <c r="AA43" s="205">
        <v>1</v>
      </c>
      <c r="AB43" s="205">
        <v>0</v>
      </c>
      <c r="AC43" s="205">
        <v>0</v>
      </c>
      <c r="AD43" s="205">
        <v>1</v>
      </c>
      <c r="AE43" s="205">
        <v>0</v>
      </c>
    </row>
    <row r="44" spans="1:31" ht="12.75">
      <c r="A44" s="178" t="s">
        <v>77</v>
      </c>
      <c r="B44" s="137" t="str">
        <f>Себестоимость!A35</f>
        <v>Мальки, 10г</v>
      </c>
      <c r="C44" s="178"/>
      <c r="D44" s="178"/>
      <c r="E44" s="141"/>
      <c r="F44" s="145"/>
      <c r="G44" s="146"/>
      <c r="H44" s="206">
        <v>0</v>
      </c>
      <c r="I44" s="206">
        <v>0</v>
      </c>
      <c r="J44" s="206">
        <v>0</v>
      </c>
      <c r="K44" s="206">
        <v>1</v>
      </c>
      <c r="L44" s="206">
        <v>1</v>
      </c>
      <c r="M44" s="206">
        <v>1</v>
      </c>
      <c r="N44" s="206">
        <v>1</v>
      </c>
      <c r="O44" s="206">
        <v>1</v>
      </c>
      <c r="P44" s="206">
        <v>1</v>
      </c>
      <c r="Q44" s="204">
        <v>1</v>
      </c>
      <c r="R44" s="204">
        <v>1</v>
      </c>
      <c r="S44" s="204">
        <v>1</v>
      </c>
      <c r="T44" s="204">
        <v>1</v>
      </c>
      <c r="U44" s="204">
        <v>1</v>
      </c>
      <c r="V44" s="204">
        <v>1</v>
      </c>
      <c r="W44" s="204">
        <v>1</v>
      </c>
      <c r="X44" s="205">
        <v>1</v>
      </c>
      <c r="Y44" s="205">
        <v>1</v>
      </c>
      <c r="Z44" s="205">
        <v>1</v>
      </c>
      <c r="AA44" s="205">
        <v>1</v>
      </c>
      <c r="AB44" s="205">
        <v>1</v>
      </c>
      <c r="AC44" s="205">
        <v>1</v>
      </c>
      <c r="AD44" s="205">
        <v>1</v>
      </c>
      <c r="AE44" s="205">
        <v>1</v>
      </c>
    </row>
    <row r="45" spans="1:31" ht="12.75">
      <c r="A45" s="177" t="s">
        <v>78</v>
      </c>
      <c r="B45" s="137" t="str">
        <f>Себестоимость!A36</f>
        <v>Электричество</v>
      </c>
      <c r="C45" s="178"/>
      <c r="D45" s="178"/>
      <c r="E45" s="141"/>
      <c r="F45" s="145"/>
      <c r="G45" s="146"/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3">
        <v>1</v>
      </c>
      <c r="R45" s="204">
        <v>1</v>
      </c>
      <c r="S45" s="204">
        <v>1</v>
      </c>
      <c r="T45" s="204">
        <v>1</v>
      </c>
      <c r="U45" s="204">
        <v>1</v>
      </c>
      <c r="V45" s="204">
        <v>1</v>
      </c>
      <c r="W45" s="204">
        <v>1</v>
      </c>
      <c r="X45" s="205">
        <v>1</v>
      </c>
      <c r="Y45" s="205">
        <v>1</v>
      </c>
      <c r="Z45" s="207">
        <v>1</v>
      </c>
      <c r="AA45" s="205">
        <v>1</v>
      </c>
      <c r="AB45" s="205">
        <v>1</v>
      </c>
      <c r="AC45" s="207">
        <v>1</v>
      </c>
      <c r="AD45" s="205">
        <v>1</v>
      </c>
      <c r="AE45" s="205">
        <v>1</v>
      </c>
    </row>
    <row r="46" spans="1:31" ht="12.75">
      <c r="A46" s="177" t="s">
        <v>79</v>
      </c>
      <c r="B46" s="137" t="str">
        <f>Себестоимость!A37</f>
        <v>Персонал</v>
      </c>
      <c r="C46" s="178"/>
      <c r="D46" s="178"/>
      <c r="E46" s="141"/>
      <c r="F46" s="145"/>
      <c r="G46" s="146"/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206">
        <v>0</v>
      </c>
      <c r="Q46" s="203">
        <v>1</v>
      </c>
      <c r="R46" s="204">
        <v>1</v>
      </c>
      <c r="S46" s="204">
        <v>1</v>
      </c>
      <c r="T46" s="204">
        <v>1</v>
      </c>
      <c r="U46" s="204">
        <v>1</v>
      </c>
      <c r="V46" s="204">
        <v>1</v>
      </c>
      <c r="W46" s="204">
        <v>1</v>
      </c>
      <c r="X46" s="205">
        <v>1</v>
      </c>
      <c r="Y46" s="205">
        <v>1</v>
      </c>
      <c r="Z46" s="207">
        <v>1</v>
      </c>
      <c r="AA46" s="205">
        <v>1</v>
      </c>
      <c r="AB46" s="205">
        <v>1</v>
      </c>
      <c r="AC46" s="207">
        <v>1</v>
      </c>
      <c r="AD46" s="205">
        <v>1</v>
      </c>
      <c r="AE46" s="205">
        <v>1</v>
      </c>
    </row>
    <row r="47" spans="1:31" ht="12.75">
      <c r="A47" s="177" t="s">
        <v>133</v>
      </c>
      <c r="B47" s="137" t="str">
        <f>Себестоимость!A38</f>
        <v>Отопление (газ, КПД=70%)</v>
      </c>
      <c r="C47" s="178"/>
      <c r="D47" s="178"/>
      <c r="E47" s="141"/>
      <c r="F47" s="142"/>
      <c r="G47" s="108"/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203">
        <v>1</v>
      </c>
      <c r="R47" s="204">
        <v>1</v>
      </c>
      <c r="S47" s="204">
        <v>1</v>
      </c>
      <c r="T47" s="204">
        <v>1</v>
      </c>
      <c r="U47" s="204">
        <v>1</v>
      </c>
      <c r="V47" s="204">
        <v>1</v>
      </c>
      <c r="W47" s="204">
        <v>1</v>
      </c>
      <c r="X47" s="209">
        <v>1</v>
      </c>
      <c r="Y47" s="207">
        <v>1</v>
      </c>
      <c r="Z47" s="207">
        <v>1</v>
      </c>
      <c r="AA47" s="209">
        <v>1</v>
      </c>
      <c r="AB47" s="207">
        <v>1</v>
      </c>
      <c r="AC47" s="207">
        <v>1</v>
      </c>
      <c r="AD47" s="209">
        <v>1</v>
      </c>
      <c r="AE47" s="207">
        <v>1</v>
      </c>
    </row>
    <row r="50" ht="12.75">
      <c r="B50" s="170" t="s">
        <v>110</v>
      </c>
    </row>
    <row r="51" spans="2:4" ht="12.75">
      <c r="B51" s="168" t="s">
        <v>104</v>
      </c>
      <c r="C51" s="169">
        <v>3</v>
      </c>
      <c r="D51" s="169" t="s">
        <v>105</v>
      </c>
    </row>
    <row r="52" spans="2:4" ht="12.75">
      <c r="B52" s="168" t="s">
        <v>108</v>
      </c>
      <c r="C52" s="169">
        <v>12</v>
      </c>
      <c r="D52" s="169" t="s">
        <v>109</v>
      </c>
    </row>
    <row r="53" spans="2:4" ht="12.75">
      <c r="B53" s="168"/>
      <c r="C53" s="169"/>
      <c r="D53" s="169"/>
    </row>
    <row r="54" ht="12.75">
      <c r="B54" s="170" t="s">
        <v>111</v>
      </c>
    </row>
    <row r="55" spans="2:5" ht="12.75">
      <c r="B55" s="168" t="s">
        <v>112</v>
      </c>
      <c r="C55" s="169">
        <v>12</v>
      </c>
      <c r="D55" s="169" t="s">
        <v>109</v>
      </c>
      <c r="E55" s="169" t="s">
        <v>113</v>
      </c>
    </row>
    <row r="56" spans="2:4" ht="12.75">
      <c r="B56" s="168" t="s">
        <v>106</v>
      </c>
      <c r="C56" s="169">
        <v>3</v>
      </c>
      <c r="D56" s="169" t="s">
        <v>107</v>
      </c>
    </row>
    <row r="58" ht="12.75">
      <c r="B58" s="170" t="s">
        <v>47</v>
      </c>
    </row>
    <row r="59" spans="2:5" ht="12.75">
      <c r="B59" s="168" t="s">
        <v>131</v>
      </c>
      <c r="C59" s="169">
        <v>3</v>
      </c>
      <c r="D59" s="169" t="s">
        <v>107</v>
      </c>
      <c r="E59" s="169"/>
    </row>
    <row r="62" ht="12.75">
      <c r="B62" s="197" t="s">
        <v>139</v>
      </c>
    </row>
    <row r="63" ht="12.75">
      <c r="B63" s="198" t="s">
        <v>140</v>
      </c>
    </row>
  </sheetData>
  <mergeCells count="7">
    <mergeCell ref="A22:A23"/>
    <mergeCell ref="B22:B23"/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5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Akva 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Krasnoborodko Vasiliy</dc:creator>
  <cp:keywords/>
  <dc:description/>
  <cp:lastModifiedBy>info@ras.lv</cp:lastModifiedBy>
  <cp:lastPrinted>2005-07-26T12:09:03Z</cp:lastPrinted>
  <dcterms:created xsi:type="dcterms:W3CDTF">2005-05-31T19:45:55Z</dcterms:created>
  <dcterms:modified xsi:type="dcterms:W3CDTF">2014-09-25T11:49:39Z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-1512888234</vt:i4>
  </property>
  <property fmtid="{D5CDD505-2E9C-101B-9397-08002B2CF9AE}" pid="3" name="_EmailSubject">
    <vt:lpwstr>ÓĒĀ äė˙ īńåņšīā č ńīģīā</vt:lpwstr>
  </property>
  <property fmtid="{D5CDD505-2E9C-101B-9397-08002B2CF9AE}" pid="4" name="_AuthorEmail">
    <vt:lpwstr>juri.liwschiz@lateko.lv</vt:lpwstr>
  </property>
  <property fmtid="{D5CDD505-2E9C-101B-9397-08002B2CF9AE}" pid="5" name="_AuthorEmailDisplayName">
    <vt:lpwstr>Juri Liwschiz</vt:lpwstr>
  </property>
  <property fmtid="{D5CDD505-2E9C-101B-9397-08002B2CF9AE}" pid="6" name="_ReviewingToolsShownOnce">
    <vt:lpwstr/>
  </property>
</Properties>
</file>