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76" activeTab="0"/>
  </bookViews>
  <sheets>
    <sheet name="Себестоимость" sheetId="1" r:id="rId1"/>
    <sheet name="Cash Flow" sheetId="2" r:id="rId2"/>
    <sheet name="Этапы" sheetId="3" r:id="rId3"/>
  </sheets>
  <definedNames>
    <definedName name="_xlnm.Print_Area" localSheetId="0">'Себестоимость'!$A$1:$G$45</definedName>
    <definedName name="_xlnm.Print_Area" localSheetId="2">'Этапы'!$A$1:$V$21</definedName>
  </definedNames>
  <calcPr fullCalcOnLoad="1"/>
</workbook>
</file>

<file path=xl/sharedStrings.xml><?xml version="1.0" encoding="utf-8"?>
<sst xmlns="http://schemas.openxmlformats.org/spreadsheetml/2006/main" count="188" uniqueCount="145">
  <si>
    <t>Основные показатели</t>
  </si>
  <si>
    <t>Производительность</t>
  </si>
  <si>
    <t>кг/год</t>
  </si>
  <si>
    <t>Площадь производственного здания</t>
  </si>
  <si>
    <t>м²</t>
  </si>
  <si>
    <t>Штат сотрудников</t>
  </si>
  <si>
    <t>Инвестиции</t>
  </si>
  <si>
    <t>Стоимость здания</t>
  </si>
  <si>
    <t>Цена строительства</t>
  </si>
  <si>
    <t>€/м²</t>
  </si>
  <si>
    <t>Итого:</t>
  </si>
  <si>
    <t>Производственные расходы</t>
  </si>
  <si>
    <t>Статья расхода</t>
  </si>
  <si>
    <t>кол-во</t>
  </si>
  <si>
    <t>ед.</t>
  </si>
  <si>
    <t>цена/ед.</t>
  </si>
  <si>
    <t>Расходы</t>
  </si>
  <si>
    <t>всего</t>
  </si>
  <si>
    <t>за 1 кг</t>
  </si>
  <si>
    <t>Вода</t>
  </si>
  <si>
    <t>Мальки</t>
  </si>
  <si>
    <t>1/год</t>
  </si>
  <si>
    <t>Электричество</t>
  </si>
  <si>
    <t>кВтч/год</t>
  </si>
  <si>
    <t>Персонал</t>
  </si>
  <si>
    <t>м³</t>
  </si>
  <si>
    <t>Другие расходы</t>
  </si>
  <si>
    <t>Здание</t>
  </si>
  <si>
    <t>Оценка</t>
  </si>
  <si>
    <t>база</t>
  </si>
  <si>
    <t>Эксплуатационные расходы</t>
  </si>
  <si>
    <t>€/год</t>
  </si>
  <si>
    <t>Cash Flow</t>
  </si>
  <si>
    <t>Основные данные</t>
  </si>
  <si>
    <t>Параметры</t>
  </si>
  <si>
    <t>Продолжительность проекта</t>
  </si>
  <si>
    <t>годы</t>
  </si>
  <si>
    <t>Годовое производство</t>
  </si>
  <si>
    <t>тонн/год</t>
  </si>
  <si>
    <t>Средний приход</t>
  </si>
  <si>
    <t>€/Kg</t>
  </si>
  <si>
    <t>Общие инвестиции</t>
  </si>
  <si>
    <t>€*1000</t>
  </si>
  <si>
    <t>Корм</t>
  </si>
  <si>
    <t>Обогрев</t>
  </si>
  <si>
    <t>Зарплата</t>
  </si>
  <si>
    <t>Cash Flow [€*1000]</t>
  </si>
  <si>
    <t>Года</t>
  </si>
  <si>
    <t>В год производство [т/год]</t>
  </si>
  <si>
    <t>Приход от продажи [€/кг]</t>
  </si>
  <si>
    <t>Всего в год [€*1000/год]</t>
  </si>
  <si>
    <t>Всего инвестиций</t>
  </si>
  <si>
    <t>Оборотные средства  [€*1000/год]</t>
  </si>
  <si>
    <t>Всего оборотных средств</t>
  </si>
  <si>
    <t>Кэш фло, без налогов</t>
  </si>
  <si>
    <t>Суммирование по годам</t>
  </si>
  <si>
    <t>Capitalized Cash flow</t>
  </si>
  <si>
    <t>Зарплата персоналу</t>
  </si>
  <si>
    <t>Цена капитала или инфляция</t>
  </si>
  <si>
    <t>Список этапов</t>
  </si>
  <si>
    <t>№</t>
  </si>
  <si>
    <t>Этап</t>
  </si>
  <si>
    <t>Дней</t>
  </si>
  <si>
    <t>Дата начала</t>
  </si>
  <si>
    <t>Дата окончания</t>
  </si>
  <si>
    <t>Стоимость</t>
  </si>
  <si>
    <t>1.</t>
  </si>
  <si>
    <t>1.1.</t>
  </si>
  <si>
    <t>1.2.</t>
  </si>
  <si>
    <t>2.</t>
  </si>
  <si>
    <t>Подключение к внешним инженерным сетям</t>
  </si>
  <si>
    <t>3.</t>
  </si>
  <si>
    <t>4.</t>
  </si>
  <si>
    <t>5.</t>
  </si>
  <si>
    <t>(EUR)</t>
  </si>
  <si>
    <t>Проектирование  УЗВ</t>
  </si>
  <si>
    <t>Покупка оборудования и монтаж</t>
  </si>
  <si>
    <t>Строительство  здания</t>
  </si>
  <si>
    <t>Подготовка площадки</t>
  </si>
  <si>
    <t>Фундамент</t>
  </si>
  <si>
    <t>2.1.</t>
  </si>
  <si>
    <t>2.2.</t>
  </si>
  <si>
    <t>2.3.</t>
  </si>
  <si>
    <t>2.4.</t>
  </si>
  <si>
    <t>Внутренняя отделка</t>
  </si>
  <si>
    <t>Запуск УЗВ</t>
  </si>
  <si>
    <t>2.5.</t>
  </si>
  <si>
    <t>Подготовка технологического проекта и консультативное сопровождение проекта</t>
  </si>
  <si>
    <t>3.2.</t>
  </si>
  <si>
    <t>3.1.</t>
  </si>
  <si>
    <t>Монтаж</t>
  </si>
  <si>
    <t>Реализация рыбы</t>
  </si>
  <si>
    <t>Разработка технического проекта и местные согласования</t>
  </si>
  <si>
    <t>Разработка и местное согласование эскизного проекта</t>
  </si>
  <si>
    <t>Подготовка и местное согласование технического проекта</t>
  </si>
  <si>
    <t>Стоимость технологического проекта и консультативное сопровождение проекта</t>
  </si>
  <si>
    <t>*</t>
  </si>
  <si>
    <t>В первом году работаем</t>
  </si>
  <si>
    <t>месяца</t>
  </si>
  <si>
    <t>Во втором годе начинаем получать рыбу</t>
  </si>
  <si>
    <t>месяц</t>
  </si>
  <si>
    <t>Во втором году работаем</t>
  </si>
  <si>
    <t>месяцев</t>
  </si>
  <si>
    <t>Время работы УЗВ</t>
  </si>
  <si>
    <t>Урожай когда</t>
  </si>
  <si>
    <t>В перво году начинаем получать рыбу</t>
  </si>
  <si>
    <t>Если 12 месяц, значит не получаем рыбу в этом году.</t>
  </si>
  <si>
    <t>Стоимость монтажа</t>
  </si>
  <si>
    <t>Стоимость оборудования</t>
  </si>
  <si>
    <t>зарплата</t>
  </si>
  <si>
    <t>Рыбовод</t>
  </si>
  <si>
    <t>Итого</t>
  </si>
  <si>
    <t>кол.</t>
  </si>
  <si>
    <t>чел.</t>
  </si>
  <si>
    <t>Кэш фло за 10 лет, без инфляции</t>
  </si>
  <si>
    <t>Ставка внутр. доходности</t>
  </si>
  <si>
    <t>Поставки каждый</t>
  </si>
  <si>
    <t>Платежи</t>
  </si>
  <si>
    <t>6.</t>
  </si>
  <si>
    <t>Налоги</t>
  </si>
  <si>
    <t>Социальный</t>
  </si>
  <si>
    <t>Риски</t>
  </si>
  <si>
    <t>€</t>
  </si>
  <si>
    <t>оборудования, мальков, кормов, энергоресурсов и т.п.</t>
  </si>
  <si>
    <t>Разработчик проекта не несем ответственности за изменение цен у поставщиков:</t>
  </si>
  <si>
    <r>
      <t>м</t>
    </r>
    <r>
      <rPr>
        <sz val="9"/>
        <rFont val="Arial"/>
        <family val="0"/>
      </rPr>
      <t>³/год</t>
    </r>
  </si>
  <si>
    <t>Месяцы 1-ого года</t>
  </si>
  <si>
    <t>Месяцы 2-ого года</t>
  </si>
  <si>
    <t>В данном расчете не учтены затраты (оборудования, корма, мальков) на доставку,</t>
  </si>
  <si>
    <t>таможенные сборы и налоги.</t>
  </si>
  <si>
    <t>Кэш фло за 10 лет, с учетом инфляции  [€*1000/год]</t>
  </si>
  <si>
    <t>В первом году затраты меньше</t>
  </si>
  <si>
    <t>Бухгалтер по временной оплате</t>
  </si>
  <si>
    <t>Директор-инженер</t>
  </si>
  <si>
    <t>Отопление (газ, КПД=95%)</t>
  </si>
  <si>
    <t>Автоматика (без кабельной продукции)</t>
  </si>
  <si>
    <t>Собственными силами</t>
  </si>
  <si>
    <t>Электрик и помошник рыбовода</t>
  </si>
  <si>
    <t>Амортизация</t>
  </si>
  <si>
    <t>Корм (кормовой коэффициент 1,0)</t>
  </si>
  <si>
    <t>Евро фонды 50% дотация</t>
  </si>
  <si>
    <t>Охранная фирма ВОХР</t>
  </si>
  <si>
    <t>Ферма по выращиванию форели 100 т рециркуляция</t>
  </si>
  <si>
    <t>Author: Vasiliy Krasnoborodko. 2024. Email: info@catfish.lv</t>
  </si>
  <si>
    <t>Copyright © 2024 by Vasiliy Krasnoborodko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</si>
</sst>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 * #,##0_ ;_ * \-#,##0_ ;_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  <numFmt numFmtId="194" formatCode="0.0"/>
    <numFmt numFmtId="195" formatCode="[$-FC19]d\ mmmm\ yyyy\ &quot;г.&quot;"/>
  </numFmts>
  <fonts count="65">
    <font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8"/>
      <name val="Guttman David"/>
      <family val="0"/>
    </font>
    <font>
      <i/>
      <u val="single"/>
      <sz val="16"/>
      <color indexed="18"/>
      <name val="Arial"/>
      <family val="2"/>
    </font>
    <font>
      <u val="single"/>
      <sz val="10"/>
      <color indexed="18"/>
      <name val="Arial"/>
      <family val="2"/>
    </font>
    <font>
      <sz val="9"/>
      <color indexed="18"/>
      <name val="Arial"/>
      <family val="2"/>
    </font>
    <font>
      <sz val="9"/>
      <color indexed="18"/>
      <name val="Arial Cyr"/>
      <family val="0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CYR"/>
      <family val="0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 CYR"/>
      <family val="0"/>
    </font>
    <font>
      <sz val="10"/>
      <color indexed="18"/>
      <name val="Arial"/>
      <family val="0"/>
    </font>
    <font>
      <sz val="9"/>
      <name val="Arial CYR"/>
      <family val="0"/>
    </font>
    <font>
      <i/>
      <sz val="10"/>
      <color indexed="18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8"/>
      <name val="Arial Cyr"/>
      <family val="0"/>
    </font>
    <font>
      <b/>
      <i/>
      <sz val="8"/>
      <color indexed="18"/>
      <name val="Arial"/>
      <family val="2"/>
    </font>
    <font>
      <b/>
      <u val="single"/>
      <sz val="8"/>
      <color indexed="18"/>
      <name val="Arial"/>
      <family val="2"/>
    </font>
    <font>
      <u val="single"/>
      <sz val="8"/>
      <color indexed="18"/>
      <name val="Arial"/>
      <family val="2"/>
    </font>
    <font>
      <b/>
      <sz val="8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 style="thick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2" fontId="3" fillId="0" borderId="0" xfId="0" applyNumberFormat="1" applyFont="1" applyBorder="1" applyAlignment="1" applyProtection="1">
      <alignment/>
      <protection hidden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10" xfId="0" applyFont="1" applyBorder="1" applyAlignment="1">
      <alignment horizontal="left" indent="5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7" fillId="0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14" fillId="34" borderId="16" xfId="0" applyFont="1" applyFill="1" applyBorder="1" applyAlignment="1">
      <alignment horizontal="center" vertical="top" wrapText="1"/>
    </xf>
    <xf numFmtId="0" fontId="14" fillId="35" borderId="16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6" xfId="0" applyFont="1" applyBorder="1" applyAlignment="1">
      <alignment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36" borderId="16" xfId="0" applyFont="1" applyFill="1" applyBorder="1" applyAlignment="1">
      <alignment horizontal="center" vertical="top" wrapText="1"/>
    </xf>
    <xf numFmtId="0" fontId="13" fillId="36" borderId="16" xfId="0" applyFont="1" applyFill="1" applyBorder="1" applyAlignment="1">
      <alignment vertical="top" wrapText="1"/>
    </xf>
    <xf numFmtId="0" fontId="14" fillId="37" borderId="16" xfId="0" applyFont="1" applyFill="1" applyBorder="1" applyAlignment="1">
      <alignment horizontal="center" vertical="top" wrapText="1"/>
    </xf>
    <xf numFmtId="0" fontId="14" fillId="38" borderId="16" xfId="0" applyFont="1" applyFill="1" applyBorder="1" applyAlignment="1">
      <alignment horizontal="center" vertical="top" wrapText="1"/>
    </xf>
    <xf numFmtId="0" fontId="14" fillId="39" borderId="16" xfId="0" applyFont="1" applyFill="1" applyBorder="1" applyAlignment="1">
      <alignment horizontal="center" vertical="top" wrapText="1"/>
    </xf>
    <xf numFmtId="0" fontId="14" fillId="40" borderId="16" xfId="0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0" fillId="0" borderId="17" xfId="0" applyBorder="1" applyAlignment="1">
      <alignment/>
    </xf>
    <xf numFmtId="0" fontId="14" fillId="0" borderId="17" xfId="0" applyFont="1" applyFill="1" applyBorder="1" applyAlignment="1">
      <alignment horizontal="center" vertical="top" wrapText="1"/>
    </xf>
    <xf numFmtId="0" fontId="14" fillId="41" borderId="17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0" fillId="42" borderId="10" xfId="0" applyFill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0" fillId="43" borderId="10" xfId="0" applyFill="1" applyBorder="1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8" xfId="0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center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3" fontId="18" fillId="0" borderId="16" xfId="0" applyNumberFormat="1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center" vertical="top" wrapText="1"/>
    </xf>
    <xf numFmtId="3" fontId="17" fillId="0" borderId="16" xfId="0" applyNumberFormat="1" applyFont="1" applyBorder="1" applyAlignment="1">
      <alignment horizontal="center" vertical="top" wrapText="1"/>
    </xf>
    <xf numFmtId="0" fontId="18" fillId="0" borderId="25" xfId="0" applyFont="1" applyBorder="1" applyAlignment="1">
      <alignment vertical="top" wrapText="1"/>
    </xf>
    <xf numFmtId="0" fontId="18" fillId="0" borderId="26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18" fillId="0" borderId="22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0" fillId="39" borderId="0" xfId="0" applyFill="1" applyBorder="1" applyAlignment="1">
      <alignment/>
    </xf>
    <xf numFmtId="0" fontId="13" fillId="0" borderId="16" xfId="0" applyFont="1" applyFill="1" applyBorder="1" applyAlignment="1">
      <alignment vertical="top" wrapText="1"/>
    </xf>
    <xf numFmtId="3" fontId="18" fillId="0" borderId="17" xfId="0" applyNumberFormat="1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44" borderId="17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3" fillId="45" borderId="16" xfId="0" applyFont="1" applyFill="1" applyBorder="1" applyAlignment="1">
      <alignment horizontal="center" vertical="top" wrapText="1"/>
    </xf>
    <xf numFmtId="0" fontId="18" fillId="0" borderId="27" xfId="0" applyFont="1" applyBorder="1" applyAlignment="1">
      <alignment vertical="top" wrapText="1"/>
    </xf>
    <xf numFmtId="0" fontId="0" fillId="0" borderId="19" xfId="0" applyBorder="1" applyAlignment="1">
      <alignment/>
    </xf>
    <xf numFmtId="3" fontId="9" fillId="0" borderId="24" xfId="0" applyNumberFormat="1" applyFont="1" applyBorder="1" applyAlignment="1">
      <alignment horizontal="center" vertical="top" wrapText="1"/>
    </xf>
    <xf numFmtId="3" fontId="9" fillId="0" borderId="28" xfId="0" applyNumberFormat="1" applyFont="1" applyBorder="1" applyAlignment="1">
      <alignment horizontal="center" vertical="top" wrapText="1"/>
    </xf>
    <xf numFmtId="3" fontId="19" fillId="0" borderId="16" xfId="0" applyNumberFormat="1" applyFont="1" applyBorder="1" applyAlignment="1">
      <alignment horizontal="center" vertical="top" wrapText="1"/>
    </xf>
    <xf numFmtId="3" fontId="19" fillId="0" borderId="24" xfId="0" applyNumberFormat="1" applyFont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3" fillId="0" borderId="30" xfId="0" applyFont="1" applyFill="1" applyBorder="1" applyAlignment="1">
      <alignment horizontal="center" vertical="top" wrapText="1"/>
    </xf>
    <xf numFmtId="0" fontId="13" fillId="46" borderId="17" xfId="0" applyFont="1" applyFill="1" applyBorder="1" applyAlignment="1">
      <alignment horizontal="center" vertical="top" wrapText="1"/>
    </xf>
    <xf numFmtId="0" fontId="0" fillId="43" borderId="26" xfId="0" applyFill="1" applyBorder="1" applyAlignment="1">
      <alignment/>
    </xf>
    <xf numFmtId="0" fontId="0" fillId="47" borderId="19" xfId="0" applyFill="1" applyBorder="1" applyAlignment="1">
      <alignment/>
    </xf>
    <xf numFmtId="3" fontId="16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horizontal="right"/>
    </xf>
    <xf numFmtId="0" fontId="18" fillId="0" borderId="16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16" fontId="9" fillId="0" borderId="24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23" fillId="0" borderId="0" xfId="0" applyFont="1" applyFill="1" applyAlignment="1" applyProtection="1">
      <alignment/>
      <protection hidden="1"/>
    </xf>
    <xf numFmtId="0" fontId="21" fillId="0" borderId="0" xfId="0" applyFont="1" applyFill="1" applyAlignment="1">
      <alignment/>
    </xf>
    <xf numFmtId="0" fontId="18" fillId="0" borderId="12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0" xfId="0" applyFont="1" applyFill="1" applyBorder="1" applyAlignment="1">
      <alignment/>
    </xf>
    <xf numFmtId="10" fontId="14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2" fontId="14" fillId="0" borderId="10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2" fontId="14" fillId="0" borderId="25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9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24" fillId="0" borderId="0" xfId="0" applyFont="1" applyAlignment="1">
      <alignment/>
    </xf>
    <xf numFmtId="1" fontId="25" fillId="0" borderId="0" xfId="0" applyNumberFormat="1" applyFont="1" applyAlignment="1">
      <alignment/>
    </xf>
    <xf numFmtId="0" fontId="18" fillId="0" borderId="22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horizontal="center"/>
    </xf>
    <xf numFmtId="0" fontId="10" fillId="0" borderId="10" xfId="0" applyFont="1" applyBorder="1" applyAlignment="1" applyProtection="1">
      <alignment horizontal="left" indent="2"/>
      <protection hidden="1"/>
    </xf>
    <xf numFmtId="0" fontId="2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3" fontId="26" fillId="0" borderId="10" xfId="0" applyNumberFormat="1" applyFont="1" applyFill="1" applyBorder="1" applyAlignment="1" applyProtection="1">
      <alignment/>
      <protection hidden="1"/>
    </xf>
    <xf numFmtId="2" fontId="26" fillId="0" borderId="10" xfId="0" applyNumberFormat="1" applyFont="1" applyFill="1" applyBorder="1" applyAlignment="1" applyProtection="1">
      <alignment/>
      <protection hidden="1"/>
    </xf>
    <xf numFmtId="0" fontId="25" fillId="0" borderId="0" xfId="0" applyFont="1" applyBorder="1" applyAlignment="1" applyProtection="1">
      <alignment/>
      <protection hidden="1"/>
    </xf>
    <xf numFmtId="1" fontId="25" fillId="0" borderId="0" xfId="0" applyNumberFormat="1" applyFont="1" applyBorder="1" applyAlignment="1" applyProtection="1">
      <alignment/>
      <protection hidden="1"/>
    </xf>
    <xf numFmtId="2" fontId="25" fillId="0" borderId="0" xfId="0" applyNumberFormat="1" applyFont="1" applyBorder="1" applyAlignment="1" applyProtection="1">
      <alignment/>
      <protection hidden="1"/>
    </xf>
    <xf numFmtId="1" fontId="14" fillId="0" borderId="0" xfId="0" applyNumberFormat="1" applyFont="1" applyAlignment="1">
      <alignment/>
    </xf>
    <xf numFmtId="0" fontId="26" fillId="0" borderId="10" xfId="0" applyFont="1" applyBorder="1" applyAlignment="1" applyProtection="1">
      <alignment horizontal="center"/>
      <protection hidden="1"/>
    </xf>
    <xf numFmtId="0" fontId="26" fillId="0" borderId="10" xfId="0" applyFont="1" applyBorder="1" applyAlignment="1">
      <alignment horizontal="center"/>
    </xf>
    <xf numFmtId="9" fontId="14" fillId="0" borderId="10" xfId="0" applyNumberFormat="1" applyFont="1" applyBorder="1" applyAlignment="1">
      <alignment/>
    </xf>
    <xf numFmtId="1" fontId="26" fillId="0" borderId="10" xfId="0" applyNumberFormat="1" applyFont="1" applyFill="1" applyBorder="1" applyAlignment="1" applyProtection="1">
      <alignment/>
      <protection hidden="1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1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7" fillId="0" borderId="19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48" borderId="16" xfId="0" applyFont="1" applyFill="1" applyBorder="1" applyAlignment="1">
      <alignment wrapText="1"/>
    </xf>
    <xf numFmtId="0" fontId="19" fillId="49" borderId="0" xfId="0" applyFont="1" applyFill="1" applyBorder="1" applyAlignment="1">
      <alignment horizontal="center"/>
    </xf>
    <xf numFmtId="0" fontId="19" fillId="49" borderId="0" xfId="0" applyFont="1" applyFill="1" applyBorder="1" applyAlignment="1">
      <alignment/>
    </xf>
    <xf numFmtId="0" fontId="19" fillId="49" borderId="3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19" fillId="50" borderId="16" xfId="0" applyFont="1" applyFill="1" applyBorder="1" applyAlignment="1">
      <alignment/>
    </xf>
    <xf numFmtId="0" fontId="2" fillId="50" borderId="0" xfId="0" applyFont="1" applyFill="1" applyBorder="1" applyAlignment="1">
      <alignment horizontal="center"/>
    </xf>
    <xf numFmtId="0" fontId="2" fillId="5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" fillId="0" borderId="30" xfId="0" applyFont="1" applyBorder="1" applyAlignment="1">
      <alignment/>
    </xf>
    <xf numFmtId="0" fontId="27" fillId="0" borderId="16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1" fontId="19" fillId="0" borderId="30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9" fontId="3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88" fontId="30" fillId="0" borderId="23" xfId="6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wrapText="1"/>
    </xf>
    <xf numFmtId="188" fontId="30" fillId="0" borderId="12" xfId="6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9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6" fillId="0" borderId="26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zoomScalePageLayoutView="0" workbookViewId="0" topLeftCell="A1">
      <selection activeCell="D34" sqref="D34"/>
    </sheetView>
  </sheetViews>
  <sheetFormatPr defaultColWidth="9.140625" defaultRowHeight="12.75"/>
  <cols>
    <col min="1" max="1" width="32.140625" style="0" customWidth="1"/>
    <col min="2" max="2" width="7.8515625" style="0" bestFit="1" customWidth="1"/>
    <col min="3" max="3" width="7.8515625" style="0" customWidth="1"/>
    <col min="5" max="5" width="11.57421875" style="0" bestFit="1" customWidth="1"/>
    <col min="6" max="6" width="6.28125" style="0" bestFit="1" customWidth="1"/>
  </cols>
  <sheetData>
    <row r="1" ht="21">
      <c r="A1" s="11" t="s">
        <v>142</v>
      </c>
    </row>
    <row r="2" ht="21">
      <c r="A2" s="11"/>
    </row>
    <row r="4" spans="1:6" ht="12.75">
      <c r="A4" s="115" t="s">
        <v>0</v>
      </c>
      <c r="B4" s="116"/>
      <c r="C4" s="116"/>
      <c r="D4" s="116"/>
      <c r="E4" s="116"/>
      <c r="F4" s="116"/>
    </row>
    <row r="5" spans="1:6" ht="12.75">
      <c r="A5" s="117" t="s">
        <v>1</v>
      </c>
      <c r="B5" s="118">
        <v>100000</v>
      </c>
      <c r="C5" s="219" t="s">
        <v>2</v>
      </c>
      <c r="D5" s="219"/>
      <c r="E5" s="116"/>
      <c r="F5" s="116"/>
    </row>
    <row r="6" spans="1:6" ht="12.75">
      <c r="A6" s="117" t="s">
        <v>3</v>
      </c>
      <c r="B6" s="142">
        <v>500</v>
      </c>
      <c r="C6" s="219" t="s">
        <v>4</v>
      </c>
      <c r="D6" s="219"/>
      <c r="E6" s="116"/>
      <c r="F6" s="116"/>
    </row>
    <row r="7" spans="1:6" ht="12.75">
      <c r="A7" s="224" t="s">
        <v>5</v>
      </c>
      <c r="B7" s="119"/>
      <c r="C7" s="120"/>
      <c r="D7" s="120"/>
      <c r="E7" s="227" t="s">
        <v>119</v>
      </c>
      <c r="F7" s="228"/>
    </row>
    <row r="8" spans="1:6" ht="12.75">
      <c r="A8" s="225"/>
      <c r="B8" s="229" t="s">
        <v>112</v>
      </c>
      <c r="C8" s="229" t="s">
        <v>109</v>
      </c>
      <c r="D8" s="229" t="s">
        <v>17</v>
      </c>
      <c r="E8" s="121" t="s">
        <v>120</v>
      </c>
      <c r="F8" s="121" t="s">
        <v>121</v>
      </c>
    </row>
    <row r="9" spans="1:6" ht="12.75">
      <c r="A9" s="226"/>
      <c r="B9" s="230"/>
      <c r="C9" s="230"/>
      <c r="D9" s="230"/>
      <c r="E9" s="122">
        <v>0</v>
      </c>
      <c r="F9" s="123">
        <v>0</v>
      </c>
    </row>
    <row r="10" spans="1:6" ht="12.75">
      <c r="A10" s="124" t="s">
        <v>133</v>
      </c>
      <c r="B10" s="121">
        <v>1</v>
      </c>
      <c r="C10" s="118">
        <v>2000</v>
      </c>
      <c r="D10" s="118">
        <f>C10*B10</f>
        <v>2000</v>
      </c>
      <c r="E10" s="125">
        <f>E$9*D10</f>
        <v>0</v>
      </c>
      <c r="F10" s="125">
        <f>B10*F$9</f>
        <v>0</v>
      </c>
    </row>
    <row r="11" spans="1:6" ht="12.75">
      <c r="A11" s="124" t="s">
        <v>132</v>
      </c>
      <c r="B11" s="121">
        <v>1</v>
      </c>
      <c r="C11" s="118">
        <v>200</v>
      </c>
      <c r="D11" s="118">
        <f>C11*B11</f>
        <v>200</v>
      </c>
      <c r="E11" s="125">
        <f>E$9*D11</f>
        <v>0</v>
      </c>
      <c r="F11" s="125">
        <f>B11*F$9</f>
        <v>0</v>
      </c>
    </row>
    <row r="12" spans="1:6" ht="12.75">
      <c r="A12" s="124" t="s">
        <v>110</v>
      </c>
      <c r="B12" s="121">
        <v>1</v>
      </c>
      <c r="C12" s="118">
        <v>1000</v>
      </c>
      <c r="D12" s="118">
        <f>C12*B12</f>
        <v>1000</v>
      </c>
      <c r="E12" s="125">
        <f>E$9*D12</f>
        <v>0</v>
      </c>
      <c r="F12" s="125">
        <f>B12*F$9</f>
        <v>0</v>
      </c>
    </row>
    <row r="13" spans="1:6" ht="12.75">
      <c r="A13" s="124" t="s">
        <v>137</v>
      </c>
      <c r="B13" s="121">
        <v>1</v>
      </c>
      <c r="C13" s="118">
        <v>700</v>
      </c>
      <c r="D13" s="118">
        <f>C13*B13</f>
        <v>700</v>
      </c>
      <c r="E13" s="125">
        <f>E$9*D13</f>
        <v>0</v>
      </c>
      <c r="F13" s="125">
        <f>B13*F$9</f>
        <v>0</v>
      </c>
    </row>
    <row r="14" spans="1:6" ht="12.75">
      <c r="A14" s="124" t="s">
        <v>141</v>
      </c>
      <c r="B14" s="121">
        <v>1</v>
      </c>
      <c r="C14" s="121">
        <v>100</v>
      </c>
      <c r="D14" s="118">
        <f>C14*B14</f>
        <v>100</v>
      </c>
      <c r="E14" s="125">
        <f>E$9*D14</f>
        <v>0</v>
      </c>
      <c r="F14" s="125">
        <f>B14*F$9</f>
        <v>0</v>
      </c>
    </row>
    <row r="15" spans="1:6" ht="12.75">
      <c r="A15" s="116"/>
      <c r="B15" s="126">
        <f>SUM(B10:B14)</f>
        <v>5</v>
      </c>
      <c r="C15" s="126"/>
      <c r="D15" s="127">
        <f>SUM(D10:D14)</f>
        <v>4000</v>
      </c>
      <c r="E15" s="127">
        <f>SUM(E10:E14)</f>
        <v>0</v>
      </c>
      <c r="F15" s="127">
        <f>SUM(F10:F14)</f>
        <v>0</v>
      </c>
    </row>
    <row r="16" spans="1:6" ht="12.75">
      <c r="A16" s="128" t="s">
        <v>111</v>
      </c>
      <c r="B16" s="126"/>
      <c r="C16" s="126"/>
      <c r="D16" s="129">
        <f>D15+E15+F15</f>
        <v>4000</v>
      </c>
      <c r="E16" s="129" t="s">
        <v>122</v>
      </c>
      <c r="F16" s="130"/>
    </row>
    <row r="17" spans="1:6" ht="12.75">
      <c r="A17" s="116"/>
      <c r="B17" s="116"/>
      <c r="C17" s="116"/>
      <c r="D17" s="116"/>
      <c r="E17" s="116"/>
      <c r="F17" s="116"/>
    </row>
    <row r="18" spans="1:6" ht="12.75">
      <c r="A18" s="115" t="s">
        <v>6</v>
      </c>
      <c r="B18" s="116"/>
      <c r="C18" s="116"/>
      <c r="D18" s="116"/>
      <c r="E18" s="116"/>
      <c r="F18" s="116"/>
    </row>
    <row r="19" spans="1:6" ht="34.5">
      <c r="A19" s="131" t="s">
        <v>95</v>
      </c>
      <c r="B19" s="132">
        <v>20000</v>
      </c>
      <c r="C19" s="116"/>
      <c r="D19" s="116"/>
      <c r="E19" s="116"/>
      <c r="F19" s="116"/>
    </row>
    <row r="20" spans="1:6" ht="23.25">
      <c r="A20" s="131" t="s">
        <v>92</v>
      </c>
      <c r="B20" s="132">
        <v>19000</v>
      </c>
      <c r="C20" s="116"/>
      <c r="D20" s="116"/>
      <c r="E20" s="116"/>
      <c r="F20" s="116"/>
    </row>
    <row r="21" spans="1:6" ht="12.75">
      <c r="A21" s="131" t="s">
        <v>108</v>
      </c>
      <c r="B21" s="132">
        <v>250000</v>
      </c>
      <c r="C21" s="116"/>
      <c r="D21" s="116"/>
      <c r="E21" s="116"/>
      <c r="F21" s="116"/>
    </row>
    <row r="22" spans="1:6" ht="12.75">
      <c r="A22" s="131" t="s">
        <v>135</v>
      </c>
      <c r="B22" s="132">
        <v>80000</v>
      </c>
      <c r="C22" s="116"/>
      <c r="D22" s="116"/>
      <c r="E22" s="116"/>
      <c r="F22" s="116"/>
    </row>
    <row r="23" spans="1:6" ht="12.75">
      <c r="A23" s="131" t="s">
        <v>107</v>
      </c>
      <c r="B23" s="132">
        <v>20000</v>
      </c>
      <c r="C23" s="116" t="s">
        <v>136</v>
      </c>
      <c r="D23" s="116"/>
      <c r="E23" s="116"/>
      <c r="F23" s="116"/>
    </row>
    <row r="24" spans="1:6" ht="12.75">
      <c r="A24" s="133" t="s">
        <v>7</v>
      </c>
      <c r="B24" s="132">
        <f>E24*B6</f>
        <v>250000</v>
      </c>
      <c r="C24" s="134" t="s">
        <v>8</v>
      </c>
      <c r="D24" s="134"/>
      <c r="E24" s="135">
        <v>500</v>
      </c>
      <c r="F24" s="134" t="s">
        <v>9</v>
      </c>
    </row>
    <row r="25" spans="1:10" ht="12.75">
      <c r="A25" s="136" t="s">
        <v>10</v>
      </c>
      <c r="B25" s="137">
        <f>SUM(B19:B24)</f>
        <v>639000</v>
      </c>
      <c r="C25" s="116"/>
      <c r="D25" s="116"/>
      <c r="E25" s="116"/>
      <c r="F25" s="116"/>
      <c r="J25" s="6"/>
    </row>
    <row r="26" spans="1:6" ht="12.75">
      <c r="A26" s="116"/>
      <c r="B26" s="116"/>
      <c r="C26" s="116"/>
      <c r="D26" s="116"/>
      <c r="E26" s="116"/>
      <c r="F26" s="116"/>
    </row>
    <row r="27" spans="1:6" ht="12.75">
      <c r="A27" s="116"/>
      <c r="B27" s="116"/>
      <c r="C27" s="116"/>
      <c r="D27" s="116"/>
      <c r="E27" s="116"/>
      <c r="F27" s="116"/>
    </row>
    <row r="28" spans="1:6" ht="12.75">
      <c r="A28" s="115" t="s">
        <v>11</v>
      </c>
      <c r="B28" s="116"/>
      <c r="C28" s="116"/>
      <c r="D28" s="116"/>
      <c r="E28" s="116"/>
      <c r="F28" s="116"/>
    </row>
    <row r="29" spans="1:6" ht="12.75">
      <c r="A29" s="217" t="s">
        <v>12</v>
      </c>
      <c r="B29" s="217" t="s">
        <v>13</v>
      </c>
      <c r="C29" s="217" t="s">
        <v>14</v>
      </c>
      <c r="D29" s="217" t="s">
        <v>15</v>
      </c>
      <c r="E29" s="220" t="s">
        <v>16</v>
      </c>
      <c r="F29" s="220"/>
    </row>
    <row r="30" spans="1:6" ht="12.75">
      <c r="A30" s="218"/>
      <c r="B30" s="218"/>
      <c r="C30" s="218"/>
      <c r="D30" s="218"/>
      <c r="E30" s="138" t="s">
        <v>17</v>
      </c>
      <c r="F30" s="138" t="s">
        <v>18</v>
      </c>
    </row>
    <row r="31" spans="1:6" ht="12.75">
      <c r="A31" s="139" t="s">
        <v>19</v>
      </c>
      <c r="B31" s="118">
        <f>40*24*365</f>
        <v>350400</v>
      </c>
      <c r="C31" s="140" t="s">
        <v>125</v>
      </c>
      <c r="D31" s="125">
        <v>0.05</v>
      </c>
      <c r="E31" s="132">
        <f aca="true" t="shared" si="0" ref="E31:E36">D31*B31</f>
        <v>17520</v>
      </c>
      <c r="F31" s="125">
        <f aca="true" t="shared" si="1" ref="F31:F36">E31/$B$5</f>
        <v>0.1752</v>
      </c>
    </row>
    <row r="32" spans="1:6" ht="12.75">
      <c r="A32" s="139" t="s">
        <v>139</v>
      </c>
      <c r="B32" s="118">
        <f>B5*1</f>
        <v>100000</v>
      </c>
      <c r="C32" s="140" t="s">
        <v>2</v>
      </c>
      <c r="D32" s="125">
        <v>1.6</v>
      </c>
      <c r="E32" s="132">
        <f t="shared" si="0"/>
        <v>160000</v>
      </c>
      <c r="F32" s="125">
        <f t="shared" si="1"/>
        <v>1.6</v>
      </c>
    </row>
    <row r="33" spans="1:6" ht="12.75">
      <c r="A33" s="139" t="s">
        <v>20</v>
      </c>
      <c r="B33" s="142">
        <f>B5/3*1.1</f>
        <v>36666.66666666667</v>
      </c>
      <c r="C33" s="140" t="s">
        <v>21</v>
      </c>
      <c r="D33" s="125">
        <v>0.1</v>
      </c>
      <c r="E33" s="132">
        <f t="shared" si="0"/>
        <v>3666.6666666666674</v>
      </c>
      <c r="F33" s="125">
        <f t="shared" si="1"/>
        <v>0.036666666666666674</v>
      </c>
    </row>
    <row r="34" spans="1:6" ht="12.75">
      <c r="A34" s="139" t="s">
        <v>22</v>
      </c>
      <c r="B34" s="118">
        <f>45*24*365</f>
        <v>394200</v>
      </c>
      <c r="C34" s="140" t="s">
        <v>23</v>
      </c>
      <c r="D34" s="125">
        <v>0.11</v>
      </c>
      <c r="E34" s="132">
        <f t="shared" si="0"/>
        <v>43362</v>
      </c>
      <c r="F34" s="125">
        <f t="shared" si="1"/>
        <v>0.43362</v>
      </c>
    </row>
    <row r="35" spans="1:6" ht="12.75">
      <c r="A35" s="139" t="s">
        <v>24</v>
      </c>
      <c r="B35" s="118">
        <f>B15</f>
        <v>5</v>
      </c>
      <c r="C35" s="140" t="s">
        <v>113</v>
      </c>
      <c r="D35" s="141">
        <f>D16/B35*12</f>
        <v>9600</v>
      </c>
      <c r="E35" s="132">
        <f t="shared" si="0"/>
        <v>48000</v>
      </c>
      <c r="F35" s="125">
        <f t="shared" si="1"/>
        <v>0.48</v>
      </c>
    </row>
    <row r="36" spans="1:6" ht="12.75">
      <c r="A36" s="139" t="s">
        <v>134</v>
      </c>
      <c r="B36" s="142">
        <f>0</f>
        <v>0</v>
      </c>
      <c r="C36" s="143" t="s">
        <v>25</v>
      </c>
      <c r="D36" s="125">
        <v>0.4</v>
      </c>
      <c r="E36" s="132">
        <f t="shared" si="0"/>
        <v>0</v>
      </c>
      <c r="F36" s="125">
        <f t="shared" si="1"/>
        <v>0</v>
      </c>
    </row>
    <row r="37" spans="1:6" ht="12.75">
      <c r="A37" s="221" t="s">
        <v>10</v>
      </c>
      <c r="B37" s="222"/>
      <c r="C37" s="222"/>
      <c r="D37" s="223"/>
      <c r="E37" s="144">
        <f>SUM(E31:E36)</f>
        <v>272548.6666666666</v>
      </c>
      <c r="F37" s="145">
        <f>SUM(F31:F36)</f>
        <v>2.725486666666667</v>
      </c>
    </row>
    <row r="38" spans="1:6" ht="12.75">
      <c r="A38" s="146"/>
      <c r="B38" s="116"/>
      <c r="C38" s="116"/>
      <c r="D38" s="116"/>
      <c r="E38" s="147"/>
      <c r="F38" s="148"/>
    </row>
    <row r="39" spans="1:6" ht="12.75">
      <c r="A39" s="115" t="s">
        <v>26</v>
      </c>
      <c r="B39" s="116"/>
      <c r="C39" s="116"/>
      <c r="D39" s="116"/>
      <c r="E39" s="149"/>
      <c r="F39" s="116"/>
    </row>
    <row r="40" spans="1:6" ht="12.75">
      <c r="A40" s="150" t="s">
        <v>27</v>
      </c>
      <c r="B40" s="151" t="s">
        <v>28</v>
      </c>
      <c r="C40" s="151" t="s">
        <v>14</v>
      </c>
      <c r="D40" s="151" t="s">
        <v>29</v>
      </c>
      <c r="E40" s="151" t="s">
        <v>17</v>
      </c>
      <c r="F40" s="151" t="s">
        <v>18</v>
      </c>
    </row>
    <row r="41" spans="1:6" ht="12.75">
      <c r="A41" s="12" t="s">
        <v>138</v>
      </c>
      <c r="B41" s="152">
        <v>0.05</v>
      </c>
      <c r="C41" s="140" t="s">
        <v>31</v>
      </c>
      <c r="D41" s="132">
        <f>B24</f>
        <v>250000</v>
      </c>
      <c r="E41" s="132">
        <f>D41*B41</f>
        <v>12500</v>
      </c>
      <c r="F41" s="125">
        <f>E41/$B$5</f>
        <v>0.125</v>
      </c>
    </row>
    <row r="42" spans="1:6" ht="12.75">
      <c r="A42" s="12" t="s">
        <v>30</v>
      </c>
      <c r="B42" s="152">
        <v>0.02</v>
      </c>
      <c r="C42" s="140" t="s">
        <v>31</v>
      </c>
      <c r="D42" s="132">
        <f>B24</f>
        <v>250000</v>
      </c>
      <c r="E42" s="132">
        <f>D42*B42</f>
        <v>5000</v>
      </c>
      <c r="F42" s="125">
        <f>E42/$B$5</f>
        <v>0.05</v>
      </c>
    </row>
    <row r="43" spans="1:6" ht="12.75">
      <c r="A43" s="214" t="s">
        <v>10</v>
      </c>
      <c r="B43" s="215"/>
      <c r="C43" s="215"/>
      <c r="D43" s="216"/>
      <c r="E43" s="153">
        <f>SUM(E42:E42)</f>
        <v>5000</v>
      </c>
      <c r="F43" s="145">
        <f>SUM(F41:F42)</f>
        <v>0.175</v>
      </c>
    </row>
    <row r="44" spans="1:6" ht="13.5">
      <c r="A44" s="3"/>
      <c r="E44" s="4"/>
      <c r="F44" s="5"/>
    </row>
    <row r="45" ht="12.75">
      <c r="A45" s="92" t="s">
        <v>124</v>
      </c>
    </row>
    <row r="46" ht="12.75">
      <c r="A46" s="92" t="s">
        <v>123</v>
      </c>
    </row>
    <row r="47" ht="12.75">
      <c r="A47" s="92" t="s">
        <v>128</v>
      </c>
    </row>
    <row r="48" ht="12.75">
      <c r="A48" s="92" t="s">
        <v>129</v>
      </c>
    </row>
    <row r="50" ht="12.75">
      <c r="A50" s="92" t="s">
        <v>143</v>
      </c>
    </row>
    <row r="51" ht="12.75">
      <c r="A51" s="92" t="s">
        <v>144</v>
      </c>
    </row>
  </sheetData>
  <sheetProtection/>
  <mergeCells count="14">
    <mergeCell ref="E29:F29"/>
    <mergeCell ref="A37:D37"/>
    <mergeCell ref="C6:D6"/>
    <mergeCell ref="A7:A9"/>
    <mergeCell ref="E7:F7"/>
    <mergeCell ref="B8:B9"/>
    <mergeCell ref="C8:C9"/>
    <mergeCell ref="D8:D9"/>
    <mergeCell ref="A43:D43"/>
    <mergeCell ref="A29:A30"/>
    <mergeCell ref="B29:B30"/>
    <mergeCell ref="C29:C30"/>
    <mergeCell ref="D29:D30"/>
    <mergeCell ref="C5:D5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27.00390625" style="0" customWidth="1"/>
    <col min="2" max="2" width="7.140625" style="0" bestFit="1" customWidth="1"/>
    <col min="3" max="3" width="7.00390625" style="0" customWidth="1"/>
    <col min="4" max="6" width="6.28125" style="0" customWidth="1"/>
    <col min="7" max="7" width="6.7109375" style="0" customWidth="1"/>
    <col min="8" max="10" width="6.28125" style="0" customWidth="1"/>
    <col min="11" max="11" width="6.421875" style="0" customWidth="1"/>
    <col min="12" max="12" width="6.28125" style="0" customWidth="1"/>
  </cols>
  <sheetData>
    <row r="1" spans="3:12" ht="20.25">
      <c r="C1" s="9" t="s">
        <v>32</v>
      </c>
      <c r="D1" s="10"/>
      <c r="H1" s="7"/>
      <c r="I1" s="7"/>
      <c r="L1" s="8"/>
    </row>
    <row r="2" spans="1:12" ht="12.75">
      <c r="A2" s="154" t="s">
        <v>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ht="12.75">
      <c r="A3" s="157" t="s">
        <v>34</v>
      </c>
      <c r="B3" s="157"/>
      <c r="C3" s="157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2.75">
      <c r="A4" s="158" t="s">
        <v>35</v>
      </c>
      <c r="B4" s="159" t="s">
        <v>36</v>
      </c>
      <c r="C4" s="159">
        <v>10</v>
      </c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2.75">
      <c r="A5" s="158" t="s">
        <v>58</v>
      </c>
      <c r="B5" s="159"/>
      <c r="C5" s="160">
        <v>0.05</v>
      </c>
      <c r="D5" s="155"/>
      <c r="E5" s="2" t="s">
        <v>96</v>
      </c>
      <c r="F5" s="155"/>
      <c r="G5" s="155"/>
      <c r="H5" s="155"/>
      <c r="I5" s="155"/>
      <c r="J5" s="155"/>
      <c r="K5" s="155"/>
      <c r="L5" s="155"/>
    </row>
    <row r="6" spans="1:12" ht="12.75">
      <c r="A6" s="158" t="s">
        <v>37</v>
      </c>
      <c r="B6" s="159" t="s">
        <v>38</v>
      </c>
      <c r="C6" s="161">
        <f>Себестоимость!B5/1000</f>
        <v>100</v>
      </c>
      <c r="D6" s="155"/>
      <c r="E6" s="2" t="s">
        <v>96</v>
      </c>
      <c r="F6" s="155"/>
      <c r="G6" s="155"/>
      <c r="H6" s="155"/>
      <c r="I6" s="155"/>
      <c r="J6" s="155"/>
      <c r="K6" s="155"/>
      <c r="L6" s="155"/>
    </row>
    <row r="7" spans="1:12" ht="12.75">
      <c r="A7" s="158" t="s">
        <v>39</v>
      </c>
      <c r="B7" s="159" t="s">
        <v>40</v>
      </c>
      <c r="C7" s="159">
        <v>5</v>
      </c>
      <c r="D7" s="155"/>
      <c r="E7" s="2" t="s">
        <v>96</v>
      </c>
      <c r="F7" s="155"/>
      <c r="G7" s="155"/>
      <c r="H7" s="155"/>
      <c r="I7" s="155"/>
      <c r="J7" s="155"/>
      <c r="K7" s="155"/>
      <c r="L7" s="155"/>
    </row>
    <row r="8" spans="1:12" ht="12.75">
      <c r="A8" s="158" t="s">
        <v>41</v>
      </c>
      <c r="B8" s="159" t="s">
        <v>42</v>
      </c>
      <c r="C8" s="162">
        <f>Себестоимость!B25/1000</f>
        <v>639</v>
      </c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2.75">
      <c r="A9" s="163" t="s">
        <v>140</v>
      </c>
      <c r="B9" s="164" t="s">
        <v>42</v>
      </c>
      <c r="C9" s="162">
        <f>C8*50%</f>
        <v>319.5</v>
      </c>
      <c r="D9" s="155"/>
      <c r="E9" s="155"/>
      <c r="F9" s="155"/>
      <c r="G9" s="155"/>
      <c r="H9" s="155"/>
      <c r="I9" s="155"/>
      <c r="J9" s="155"/>
      <c r="K9" s="155"/>
      <c r="L9" s="155"/>
    </row>
    <row r="10" spans="1:12" ht="12.75">
      <c r="A10" s="165"/>
      <c r="B10" s="166"/>
      <c r="C10" s="166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12.75">
      <c r="A11" s="167" t="s">
        <v>19</v>
      </c>
      <c r="B11" s="168" t="s">
        <v>40</v>
      </c>
      <c r="C11" s="169">
        <f>Себестоимость!F31</f>
        <v>0.1752</v>
      </c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12.75">
      <c r="A12" s="158" t="s">
        <v>43</v>
      </c>
      <c r="B12" s="159" t="s">
        <v>40</v>
      </c>
      <c r="C12" s="170">
        <f>Себестоимость!F32</f>
        <v>1.6</v>
      </c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12.75">
      <c r="A13" s="158" t="s">
        <v>20</v>
      </c>
      <c r="B13" s="159" t="s">
        <v>40</v>
      </c>
      <c r="C13" s="170">
        <f>Себестоимость!F33</f>
        <v>0.036666666666666674</v>
      </c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2.75">
      <c r="A14" s="158" t="s">
        <v>22</v>
      </c>
      <c r="B14" s="159" t="s">
        <v>40</v>
      </c>
      <c r="C14" s="170">
        <f>Себестоимость!F34</f>
        <v>0.43362</v>
      </c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ht="12.75">
      <c r="A15" s="158" t="s">
        <v>57</v>
      </c>
      <c r="B15" s="159" t="s">
        <v>40</v>
      </c>
      <c r="C15" s="170">
        <f>Себестоимость!F35</f>
        <v>0.48</v>
      </c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ht="12.75">
      <c r="A16" s="158" t="s">
        <v>44</v>
      </c>
      <c r="B16" s="159" t="s">
        <v>40</v>
      </c>
      <c r="C16" s="170">
        <f>Себестоимость!F36</f>
        <v>0</v>
      </c>
      <c r="D16" s="171"/>
      <c r="E16" s="172"/>
      <c r="F16" s="155"/>
      <c r="G16" s="156"/>
      <c r="H16" s="155"/>
      <c r="I16" s="155"/>
      <c r="J16" s="155"/>
      <c r="K16" s="155"/>
      <c r="L16" s="155"/>
    </row>
    <row r="17" spans="1:12" ht="12.75">
      <c r="A17" s="155"/>
      <c r="B17" s="155"/>
      <c r="C17" s="173">
        <f>SUM(C11:C16)</f>
        <v>2.725486666666667</v>
      </c>
      <c r="D17" s="171"/>
      <c r="E17" s="172"/>
      <c r="F17" s="155"/>
      <c r="G17" s="156"/>
      <c r="H17" s="155"/>
      <c r="I17" s="155"/>
      <c r="J17" s="155"/>
      <c r="K17" s="155"/>
      <c r="L17" s="155"/>
    </row>
    <row r="18" spans="1:12" ht="12.75">
      <c r="A18" s="174"/>
      <c r="B18" s="174"/>
      <c r="C18" s="174"/>
      <c r="D18" s="174"/>
      <c r="E18" s="174"/>
      <c r="F18" s="174"/>
      <c r="G18" s="155"/>
      <c r="H18" s="155"/>
      <c r="I18" s="155"/>
      <c r="J18" s="155"/>
      <c r="K18" s="155"/>
      <c r="L18" s="156"/>
    </row>
    <row r="19" spans="1:12" ht="12.75">
      <c r="A19" s="154" t="s">
        <v>46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6"/>
    </row>
    <row r="20" spans="1:12" ht="12.75">
      <c r="A20" s="175"/>
      <c r="B20" s="176">
        <v>0</v>
      </c>
      <c r="C20" s="176">
        <v>1</v>
      </c>
      <c r="D20" s="176">
        <v>2</v>
      </c>
      <c r="E20" s="176">
        <v>3</v>
      </c>
      <c r="F20" s="176">
        <v>4</v>
      </c>
      <c r="G20" s="176">
        <v>5</v>
      </c>
      <c r="H20" s="176">
        <v>6</v>
      </c>
      <c r="I20" s="176">
        <v>7</v>
      </c>
      <c r="J20" s="176">
        <v>8</v>
      </c>
      <c r="K20" s="176">
        <v>9</v>
      </c>
      <c r="L20" s="177">
        <v>10</v>
      </c>
    </row>
    <row r="21" spans="1:12" ht="12.75">
      <c r="A21" s="178" t="s">
        <v>47</v>
      </c>
      <c r="B21" s="179">
        <v>2017</v>
      </c>
      <c r="C21" s="179">
        <f>B21+1</f>
        <v>2018</v>
      </c>
      <c r="D21" s="179">
        <f aca="true" t="shared" si="0" ref="D21:L21">C21+1</f>
        <v>2019</v>
      </c>
      <c r="E21" s="179">
        <f t="shared" si="0"/>
        <v>2020</v>
      </c>
      <c r="F21" s="179">
        <f t="shared" si="0"/>
        <v>2021</v>
      </c>
      <c r="G21" s="179">
        <f t="shared" si="0"/>
        <v>2022</v>
      </c>
      <c r="H21" s="179">
        <f t="shared" si="0"/>
        <v>2023</v>
      </c>
      <c r="I21" s="179">
        <f t="shared" si="0"/>
        <v>2024</v>
      </c>
      <c r="J21" s="179">
        <f t="shared" si="0"/>
        <v>2025</v>
      </c>
      <c r="K21" s="179">
        <f t="shared" si="0"/>
        <v>2026</v>
      </c>
      <c r="L21" s="180">
        <f t="shared" si="0"/>
        <v>2027</v>
      </c>
    </row>
    <row r="22" spans="1:12" ht="12.75">
      <c r="A22" s="181"/>
      <c r="B22" s="182"/>
      <c r="C22" s="182"/>
      <c r="D22" s="182"/>
      <c r="E22" s="182"/>
      <c r="F22" s="182"/>
      <c r="G22" s="183"/>
      <c r="H22" s="183"/>
      <c r="I22" s="183"/>
      <c r="J22" s="183"/>
      <c r="K22" s="183"/>
      <c r="L22" s="184"/>
    </row>
    <row r="23" spans="1:12" ht="12.75">
      <c r="A23" s="185" t="s">
        <v>48</v>
      </c>
      <c r="B23" s="186">
        <f>$C$6*(12-Этапы!C38)/12</f>
        <v>0</v>
      </c>
      <c r="C23" s="186">
        <f>$C$6*(12-Этапы!C39)/12</f>
        <v>16.666666666666668</v>
      </c>
      <c r="D23" s="186">
        <f aca="true" t="shared" si="1" ref="D23:L23">$C$6</f>
        <v>100</v>
      </c>
      <c r="E23" s="186">
        <f t="shared" si="1"/>
        <v>100</v>
      </c>
      <c r="F23" s="186">
        <f t="shared" si="1"/>
        <v>100</v>
      </c>
      <c r="G23" s="186">
        <f t="shared" si="1"/>
        <v>100</v>
      </c>
      <c r="H23" s="186">
        <f t="shared" si="1"/>
        <v>100</v>
      </c>
      <c r="I23" s="186">
        <f t="shared" si="1"/>
        <v>100</v>
      </c>
      <c r="J23" s="186">
        <f t="shared" si="1"/>
        <v>100</v>
      </c>
      <c r="K23" s="186">
        <f t="shared" si="1"/>
        <v>100</v>
      </c>
      <c r="L23" s="187">
        <f t="shared" si="1"/>
        <v>100</v>
      </c>
    </row>
    <row r="24" spans="1:12" ht="12.75">
      <c r="A24" s="185" t="s">
        <v>49</v>
      </c>
      <c r="B24" s="188">
        <f>$C$7</f>
        <v>5</v>
      </c>
      <c r="C24" s="188">
        <f aca="true" t="shared" si="2" ref="C24:L24">$C$7</f>
        <v>5</v>
      </c>
      <c r="D24" s="188">
        <f t="shared" si="2"/>
        <v>5</v>
      </c>
      <c r="E24" s="188">
        <f t="shared" si="2"/>
        <v>5</v>
      </c>
      <c r="F24" s="188">
        <f t="shared" si="2"/>
        <v>5</v>
      </c>
      <c r="G24" s="188">
        <f t="shared" si="2"/>
        <v>5</v>
      </c>
      <c r="H24" s="188">
        <f t="shared" si="2"/>
        <v>5</v>
      </c>
      <c r="I24" s="188">
        <f t="shared" si="2"/>
        <v>5</v>
      </c>
      <c r="J24" s="188">
        <f t="shared" si="2"/>
        <v>5</v>
      </c>
      <c r="K24" s="188">
        <f t="shared" si="2"/>
        <v>5</v>
      </c>
      <c r="L24" s="189">
        <f t="shared" si="2"/>
        <v>5</v>
      </c>
    </row>
    <row r="25" spans="1:12" ht="12.75">
      <c r="A25" s="185" t="s">
        <v>50</v>
      </c>
      <c r="B25" s="190">
        <f>B24*B23</f>
        <v>0</v>
      </c>
      <c r="C25" s="190">
        <f aca="true" t="shared" si="3" ref="C25:L25">C24*C23</f>
        <v>83.33333333333334</v>
      </c>
      <c r="D25" s="190">
        <f t="shared" si="3"/>
        <v>500</v>
      </c>
      <c r="E25" s="190">
        <f t="shared" si="3"/>
        <v>500</v>
      </c>
      <c r="F25" s="190">
        <f t="shared" si="3"/>
        <v>500</v>
      </c>
      <c r="G25" s="190">
        <f t="shared" si="3"/>
        <v>500</v>
      </c>
      <c r="H25" s="190">
        <f t="shared" si="3"/>
        <v>500</v>
      </c>
      <c r="I25" s="190">
        <f t="shared" si="3"/>
        <v>500</v>
      </c>
      <c r="J25" s="190">
        <f t="shared" si="3"/>
        <v>500</v>
      </c>
      <c r="K25" s="190">
        <f t="shared" si="3"/>
        <v>500</v>
      </c>
      <c r="L25" s="191">
        <f t="shared" si="3"/>
        <v>500</v>
      </c>
    </row>
    <row r="26" spans="1:12" ht="12.75">
      <c r="A26" s="192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4"/>
    </row>
    <row r="27" spans="1:12" ht="12.75">
      <c r="A27" s="185" t="s">
        <v>51</v>
      </c>
      <c r="B27" s="186">
        <f>-C8+C9</f>
        <v>-319.5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6"/>
    </row>
    <row r="28" spans="1:12" ht="12.75">
      <c r="A28" s="185"/>
      <c r="B28" s="186"/>
      <c r="C28" s="195"/>
      <c r="D28" s="195"/>
      <c r="E28" s="195"/>
      <c r="F28" s="195"/>
      <c r="G28" s="195"/>
      <c r="H28" s="195"/>
      <c r="I28" s="195"/>
      <c r="J28" s="195"/>
      <c r="K28" s="195"/>
      <c r="L28" s="196"/>
    </row>
    <row r="29" spans="1:12" ht="12.75">
      <c r="A29" s="197" t="s">
        <v>52</v>
      </c>
      <c r="B29" s="186"/>
      <c r="C29" s="195"/>
      <c r="D29" s="195"/>
      <c r="E29" s="195"/>
      <c r="F29" s="195"/>
      <c r="G29" s="195"/>
      <c r="H29" s="195"/>
      <c r="I29" s="195"/>
      <c r="J29" s="195"/>
      <c r="K29" s="195"/>
      <c r="L29" s="196"/>
    </row>
    <row r="30" spans="1:12" ht="12.75">
      <c r="A30" s="198" t="s">
        <v>19</v>
      </c>
      <c r="B30" s="188">
        <f>$C11*$C$6*SUM(Этапы!G$24:R$24)/12*Этапы!C35</f>
        <v>1.3139999999999998</v>
      </c>
      <c r="C30" s="188">
        <f>$C11*$C$6*SUM(Этапы!S24:AD24)/12</f>
        <v>17.52</v>
      </c>
      <c r="D30" s="188">
        <f aca="true" t="shared" si="4" ref="D30:L35">$C11*$C$6</f>
        <v>17.52</v>
      </c>
      <c r="E30" s="188">
        <f t="shared" si="4"/>
        <v>17.52</v>
      </c>
      <c r="F30" s="188">
        <f t="shared" si="4"/>
        <v>17.52</v>
      </c>
      <c r="G30" s="188">
        <f t="shared" si="4"/>
        <v>17.52</v>
      </c>
      <c r="H30" s="188">
        <f t="shared" si="4"/>
        <v>17.52</v>
      </c>
      <c r="I30" s="188">
        <f t="shared" si="4"/>
        <v>17.52</v>
      </c>
      <c r="J30" s="188">
        <f t="shared" si="4"/>
        <v>17.52</v>
      </c>
      <c r="K30" s="188">
        <f t="shared" si="4"/>
        <v>17.52</v>
      </c>
      <c r="L30" s="189">
        <f t="shared" si="4"/>
        <v>17.52</v>
      </c>
    </row>
    <row r="31" spans="1:12" ht="12.75">
      <c r="A31" s="198" t="s">
        <v>43</v>
      </c>
      <c r="B31" s="188">
        <f>$C12*$C$6*SUM(Этапы!G25:R25)/12*Этапы!C42*Этапы!C35</f>
        <v>12</v>
      </c>
      <c r="C31" s="188">
        <f>$C12*$C$6*SUM(Этапы!S25:AD25)/12*Этапы!C42</f>
        <v>160</v>
      </c>
      <c r="D31" s="188">
        <f t="shared" si="4"/>
        <v>160</v>
      </c>
      <c r="E31" s="188">
        <f t="shared" si="4"/>
        <v>160</v>
      </c>
      <c r="F31" s="188">
        <f t="shared" si="4"/>
        <v>160</v>
      </c>
      <c r="G31" s="188">
        <f t="shared" si="4"/>
        <v>160</v>
      </c>
      <c r="H31" s="188">
        <f t="shared" si="4"/>
        <v>160</v>
      </c>
      <c r="I31" s="188">
        <f t="shared" si="4"/>
        <v>160</v>
      </c>
      <c r="J31" s="188">
        <f t="shared" si="4"/>
        <v>160</v>
      </c>
      <c r="K31" s="188">
        <f t="shared" si="4"/>
        <v>160</v>
      </c>
      <c r="L31" s="189">
        <f t="shared" si="4"/>
        <v>160</v>
      </c>
    </row>
    <row r="32" spans="1:12" ht="12.75">
      <c r="A32" s="198" t="s">
        <v>20</v>
      </c>
      <c r="B32" s="188">
        <f>$C13*$C$6*SUM(Этапы!G26:R26)/12*Этапы!C45</f>
        <v>3.666666666666668</v>
      </c>
      <c r="C32" s="188">
        <f>$C13*$C$6*SUM(Этапы!S26:AD26)/12*Этапы!C45</f>
        <v>3.666666666666668</v>
      </c>
      <c r="D32" s="188">
        <f t="shared" si="4"/>
        <v>3.6666666666666674</v>
      </c>
      <c r="E32" s="188">
        <f t="shared" si="4"/>
        <v>3.6666666666666674</v>
      </c>
      <c r="F32" s="188">
        <f t="shared" si="4"/>
        <v>3.6666666666666674</v>
      </c>
      <c r="G32" s="188">
        <f t="shared" si="4"/>
        <v>3.6666666666666674</v>
      </c>
      <c r="H32" s="188">
        <f t="shared" si="4"/>
        <v>3.6666666666666674</v>
      </c>
      <c r="I32" s="188">
        <f t="shared" si="4"/>
        <v>3.6666666666666674</v>
      </c>
      <c r="J32" s="188">
        <f t="shared" si="4"/>
        <v>3.6666666666666674</v>
      </c>
      <c r="K32" s="188">
        <f t="shared" si="4"/>
        <v>3.6666666666666674</v>
      </c>
      <c r="L32" s="189">
        <f t="shared" si="4"/>
        <v>3.6666666666666674</v>
      </c>
    </row>
    <row r="33" spans="1:12" ht="12.75">
      <c r="A33" s="198" t="s">
        <v>22</v>
      </c>
      <c r="B33" s="188">
        <f>$C14*$C$6*SUM(Этапы!G27:R27)/12*Этапы!C35</f>
        <v>3.25215</v>
      </c>
      <c r="C33" s="188">
        <f>$C14*$C$6*SUM(Этапы!S26:AD26)/12</f>
        <v>3.6135</v>
      </c>
      <c r="D33" s="188">
        <f t="shared" si="4"/>
        <v>43.362</v>
      </c>
      <c r="E33" s="188">
        <f t="shared" si="4"/>
        <v>43.362</v>
      </c>
      <c r="F33" s="188">
        <f t="shared" si="4"/>
        <v>43.362</v>
      </c>
      <c r="G33" s="188">
        <f t="shared" si="4"/>
        <v>43.362</v>
      </c>
      <c r="H33" s="188">
        <f t="shared" si="4"/>
        <v>43.362</v>
      </c>
      <c r="I33" s="188">
        <f t="shared" si="4"/>
        <v>43.362</v>
      </c>
      <c r="J33" s="188">
        <f t="shared" si="4"/>
        <v>43.362</v>
      </c>
      <c r="K33" s="188">
        <f t="shared" si="4"/>
        <v>43.362</v>
      </c>
      <c r="L33" s="189">
        <f t="shared" si="4"/>
        <v>43.362</v>
      </c>
    </row>
    <row r="34" spans="1:12" ht="12.75">
      <c r="A34" s="198" t="s">
        <v>45</v>
      </c>
      <c r="B34" s="188">
        <f>$C15*$C$6*SUM(Этапы!G28:R28)/12*Этапы!C35</f>
        <v>3.5999999999999996</v>
      </c>
      <c r="C34" s="188">
        <f>$C15*$C$6*SUM(Этапы!S28:AD28)/12</f>
        <v>48</v>
      </c>
      <c r="D34" s="188">
        <f t="shared" si="4"/>
        <v>48</v>
      </c>
      <c r="E34" s="188">
        <f t="shared" si="4"/>
        <v>48</v>
      </c>
      <c r="F34" s="188">
        <f t="shared" si="4"/>
        <v>48</v>
      </c>
      <c r="G34" s="188">
        <f t="shared" si="4"/>
        <v>48</v>
      </c>
      <c r="H34" s="188">
        <f t="shared" si="4"/>
        <v>48</v>
      </c>
      <c r="I34" s="188">
        <f t="shared" si="4"/>
        <v>48</v>
      </c>
      <c r="J34" s="188">
        <f t="shared" si="4"/>
        <v>48</v>
      </c>
      <c r="K34" s="188">
        <f t="shared" si="4"/>
        <v>48</v>
      </c>
      <c r="L34" s="189">
        <f t="shared" si="4"/>
        <v>48</v>
      </c>
    </row>
    <row r="35" spans="1:12" ht="12.75">
      <c r="A35" s="198" t="s">
        <v>44</v>
      </c>
      <c r="B35" s="188">
        <f>$C16*$C$6*SUM(Этапы!G29:R29)/12*Этапы!C35</f>
        <v>0</v>
      </c>
      <c r="C35" s="188">
        <f>$C16*$C$6*SUM(Этапы!S29:AD29)/12</f>
        <v>0</v>
      </c>
      <c r="D35" s="188">
        <f t="shared" si="4"/>
        <v>0</v>
      </c>
      <c r="E35" s="188">
        <f t="shared" si="4"/>
        <v>0</v>
      </c>
      <c r="F35" s="188">
        <f t="shared" si="4"/>
        <v>0</v>
      </c>
      <c r="G35" s="188">
        <f t="shared" si="4"/>
        <v>0</v>
      </c>
      <c r="H35" s="188">
        <f t="shared" si="4"/>
        <v>0</v>
      </c>
      <c r="I35" s="188">
        <f t="shared" si="4"/>
        <v>0</v>
      </c>
      <c r="J35" s="188">
        <f t="shared" si="4"/>
        <v>0</v>
      </c>
      <c r="K35" s="188">
        <f t="shared" si="4"/>
        <v>0</v>
      </c>
      <c r="L35" s="189">
        <f t="shared" si="4"/>
        <v>0</v>
      </c>
    </row>
    <row r="36" spans="1:12" ht="12.75">
      <c r="A36" s="199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99"/>
    </row>
    <row r="37" spans="1:12" ht="12.75">
      <c r="A37" s="198" t="s">
        <v>26</v>
      </c>
      <c r="B37" s="188">
        <f>C369</f>
        <v>0</v>
      </c>
      <c r="C37" s="188">
        <f>Себестоимость!E43/1000</f>
        <v>5</v>
      </c>
      <c r="D37" s="188">
        <f>C37</f>
        <v>5</v>
      </c>
      <c r="E37" s="188">
        <f aca="true" t="shared" si="5" ref="E37:L37">D37</f>
        <v>5</v>
      </c>
      <c r="F37" s="188">
        <f t="shared" si="5"/>
        <v>5</v>
      </c>
      <c r="G37" s="188">
        <f t="shared" si="5"/>
        <v>5</v>
      </c>
      <c r="H37" s="188">
        <f t="shared" si="5"/>
        <v>5</v>
      </c>
      <c r="I37" s="188">
        <f t="shared" si="5"/>
        <v>5</v>
      </c>
      <c r="J37" s="188">
        <f t="shared" si="5"/>
        <v>5</v>
      </c>
      <c r="K37" s="188">
        <f t="shared" si="5"/>
        <v>5</v>
      </c>
      <c r="L37" s="189">
        <f t="shared" si="5"/>
        <v>5</v>
      </c>
    </row>
    <row r="38" spans="1:12" ht="12.75">
      <c r="A38" s="200" t="s">
        <v>53</v>
      </c>
      <c r="B38" s="201">
        <f>SUM(B30:B37)</f>
        <v>23.832816666666666</v>
      </c>
      <c r="C38" s="201">
        <f aca="true" t="shared" si="6" ref="C38:L38">SUM(C30:C37)</f>
        <v>237.80016666666666</v>
      </c>
      <c r="D38" s="201">
        <f>SUM(D30:D37)</f>
        <v>277.5486666666667</v>
      </c>
      <c r="E38" s="201">
        <f t="shared" si="6"/>
        <v>277.5486666666667</v>
      </c>
      <c r="F38" s="201">
        <f t="shared" si="6"/>
        <v>277.5486666666667</v>
      </c>
      <c r="G38" s="201">
        <f t="shared" si="6"/>
        <v>277.5486666666667</v>
      </c>
      <c r="H38" s="201">
        <f t="shared" si="6"/>
        <v>277.5486666666667</v>
      </c>
      <c r="I38" s="201">
        <f t="shared" si="6"/>
        <v>277.5486666666667</v>
      </c>
      <c r="J38" s="201">
        <f t="shared" si="6"/>
        <v>277.5486666666667</v>
      </c>
      <c r="K38" s="201">
        <f t="shared" si="6"/>
        <v>277.5486666666667</v>
      </c>
      <c r="L38" s="202">
        <f t="shared" si="6"/>
        <v>277.5486666666667</v>
      </c>
    </row>
    <row r="39" spans="1:12" ht="12.75">
      <c r="A39" s="192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4"/>
    </row>
    <row r="40" spans="1:12" ht="12.75">
      <c r="A40" s="203" t="s">
        <v>54</v>
      </c>
      <c r="B40" s="190">
        <f aca="true" t="shared" si="7" ref="B40:L40">-B38+B27+B25</f>
        <v>-343.33281666666664</v>
      </c>
      <c r="C40" s="190">
        <f t="shared" si="7"/>
        <v>-154.4668333333333</v>
      </c>
      <c r="D40" s="190">
        <f t="shared" si="7"/>
        <v>222.4513333333333</v>
      </c>
      <c r="E40" s="190">
        <f t="shared" si="7"/>
        <v>222.4513333333333</v>
      </c>
      <c r="F40" s="190">
        <f t="shared" si="7"/>
        <v>222.4513333333333</v>
      </c>
      <c r="G40" s="190">
        <f t="shared" si="7"/>
        <v>222.4513333333333</v>
      </c>
      <c r="H40" s="190">
        <f t="shared" si="7"/>
        <v>222.4513333333333</v>
      </c>
      <c r="I40" s="190">
        <f t="shared" si="7"/>
        <v>222.4513333333333</v>
      </c>
      <c r="J40" s="190">
        <f t="shared" si="7"/>
        <v>222.4513333333333</v>
      </c>
      <c r="K40" s="190">
        <f t="shared" si="7"/>
        <v>222.4513333333333</v>
      </c>
      <c r="L40" s="191">
        <f t="shared" si="7"/>
        <v>222.4513333333333</v>
      </c>
    </row>
    <row r="41" spans="1:12" ht="12.75">
      <c r="A41" s="203" t="s">
        <v>55</v>
      </c>
      <c r="B41" s="190">
        <f>B40</f>
        <v>-343.33281666666664</v>
      </c>
      <c r="C41" s="190">
        <f>B41+C40</f>
        <v>-497.79964999999993</v>
      </c>
      <c r="D41" s="190">
        <f aca="true" t="shared" si="8" ref="D41:L41">C41+D40</f>
        <v>-275.3483166666666</v>
      </c>
      <c r="E41" s="190">
        <f t="shared" si="8"/>
        <v>-52.89698333333331</v>
      </c>
      <c r="F41" s="190">
        <f t="shared" si="8"/>
        <v>169.55435</v>
      </c>
      <c r="G41" s="190">
        <f t="shared" si="8"/>
        <v>392.0056833333333</v>
      </c>
      <c r="H41" s="190">
        <f t="shared" si="8"/>
        <v>614.4570166666666</v>
      </c>
      <c r="I41" s="190">
        <f t="shared" si="8"/>
        <v>836.9083499999999</v>
      </c>
      <c r="J41" s="190">
        <f t="shared" si="8"/>
        <v>1059.3596833333331</v>
      </c>
      <c r="K41" s="190">
        <f t="shared" si="8"/>
        <v>1281.8110166666665</v>
      </c>
      <c r="L41" s="191">
        <f t="shared" si="8"/>
        <v>1504.26235</v>
      </c>
    </row>
    <row r="42" spans="1:12" ht="12.75">
      <c r="A42" s="203" t="s">
        <v>56</v>
      </c>
      <c r="B42" s="190">
        <f aca="true" t="shared" si="9" ref="B42:L42">B41/(1+$C$5)^B20</f>
        <v>-343.33281666666664</v>
      </c>
      <c r="C42" s="190">
        <f t="shared" si="9"/>
        <v>-474.0949047619047</v>
      </c>
      <c r="D42" s="190">
        <f t="shared" si="9"/>
        <v>-249.7490400604686</v>
      </c>
      <c r="E42" s="190">
        <f t="shared" si="9"/>
        <v>-45.69440305222616</v>
      </c>
      <c r="F42" s="190">
        <f t="shared" si="9"/>
        <v>139.49278335672892</v>
      </c>
      <c r="G42" s="190">
        <f t="shared" si="9"/>
        <v>307.1467102960153</v>
      </c>
      <c r="H42" s="190">
        <f t="shared" si="9"/>
        <v>458.51728640807556</v>
      </c>
      <c r="I42" s="190">
        <f t="shared" si="9"/>
        <v>594.7751393750052</v>
      </c>
      <c r="J42" s="190">
        <f t="shared" si="9"/>
        <v>717.0163322262453</v>
      </c>
      <c r="K42" s="190">
        <f t="shared" si="9"/>
        <v>826.2668102495328</v>
      </c>
      <c r="L42" s="191">
        <f t="shared" si="9"/>
        <v>923.4865934673684</v>
      </c>
    </row>
    <row r="43" spans="1:12" ht="12.75">
      <c r="A43" s="204" t="s">
        <v>115</v>
      </c>
      <c r="B43" s="205">
        <f>IRR(B40:L40)</f>
        <v>0.3360400049283201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1"/>
    </row>
    <row r="44" spans="1:12" ht="12.75">
      <c r="A44" s="206" t="s">
        <v>114</v>
      </c>
      <c r="B44" s="207">
        <f>L41</f>
        <v>1504.26235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1"/>
    </row>
    <row r="45" spans="1:12" ht="21">
      <c r="A45" s="208" t="s">
        <v>130</v>
      </c>
      <c r="B45" s="209">
        <f>L42</f>
        <v>923.4865934673684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1"/>
    </row>
    <row r="47" ht="12.75">
      <c r="A47" s="113" t="s">
        <v>143</v>
      </c>
    </row>
    <row r="48" ht="12.75">
      <c r="A48" s="213" t="s">
        <v>144</v>
      </c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7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4.28125" style="0" bestFit="1" customWidth="1"/>
    <col min="2" max="2" width="30.28125" style="0" customWidth="1"/>
    <col min="3" max="3" width="5.140625" style="0" bestFit="1" customWidth="1"/>
    <col min="4" max="4" width="6.8515625" style="0" customWidth="1"/>
    <col min="5" max="5" width="9.57421875" style="0" customWidth="1"/>
    <col min="7" max="15" width="2.421875" style="0" bestFit="1" customWidth="1"/>
    <col min="16" max="18" width="2.7109375" style="0" bestFit="1" customWidth="1"/>
    <col min="19" max="27" width="2.421875" style="0" bestFit="1" customWidth="1"/>
    <col min="28" max="30" width="2.7109375" style="0" bestFit="1" customWidth="1"/>
  </cols>
  <sheetData>
    <row r="2" ht="20.25">
      <c r="B2" s="9" t="s">
        <v>59</v>
      </c>
    </row>
    <row r="3" ht="15">
      <c r="A3" s="13"/>
    </row>
    <row r="4" spans="1:30" s="15" customFormat="1" ht="22.5" customHeight="1">
      <c r="A4" s="234" t="s">
        <v>60</v>
      </c>
      <c r="B4" s="236" t="s">
        <v>61</v>
      </c>
      <c r="C4" s="234" t="s">
        <v>62</v>
      </c>
      <c r="D4" s="234" t="s">
        <v>63</v>
      </c>
      <c r="E4" s="234" t="s">
        <v>64</v>
      </c>
      <c r="F4" s="16" t="s">
        <v>65</v>
      </c>
      <c r="G4" s="231" t="s">
        <v>126</v>
      </c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1" t="s">
        <v>127</v>
      </c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3"/>
    </row>
    <row r="5" spans="1:30" s="15" customFormat="1" ht="9.75">
      <c r="A5" s="235"/>
      <c r="B5" s="237"/>
      <c r="C5" s="235"/>
      <c r="D5" s="235"/>
      <c r="E5" s="235"/>
      <c r="F5" s="16" t="s">
        <v>74</v>
      </c>
      <c r="G5" s="16">
        <v>1</v>
      </c>
      <c r="H5" s="16">
        <v>2</v>
      </c>
      <c r="I5" s="16">
        <v>3</v>
      </c>
      <c r="J5" s="16">
        <v>4</v>
      </c>
      <c r="K5" s="16">
        <v>5</v>
      </c>
      <c r="L5" s="16">
        <v>6</v>
      </c>
      <c r="M5" s="16">
        <v>7</v>
      </c>
      <c r="N5" s="16">
        <v>8</v>
      </c>
      <c r="O5" s="16">
        <v>9</v>
      </c>
      <c r="P5" s="23">
        <v>10</v>
      </c>
      <c r="Q5" s="16">
        <v>11</v>
      </c>
      <c r="R5" s="16">
        <v>12</v>
      </c>
      <c r="S5" s="16">
        <v>1</v>
      </c>
      <c r="T5" s="16">
        <v>2</v>
      </c>
      <c r="U5" s="16">
        <v>3</v>
      </c>
      <c r="V5" s="16">
        <v>4</v>
      </c>
      <c r="W5" s="16">
        <v>5</v>
      </c>
      <c r="X5" s="16">
        <v>6</v>
      </c>
      <c r="Y5" s="16">
        <v>7</v>
      </c>
      <c r="Z5" s="16">
        <v>8</v>
      </c>
      <c r="AA5" s="16">
        <v>9</v>
      </c>
      <c r="AB5" s="16">
        <v>10</v>
      </c>
      <c r="AC5" s="16">
        <v>11</v>
      </c>
      <c r="AD5" s="16">
        <v>12</v>
      </c>
    </row>
    <row r="6" spans="1:30" ht="13.5" thickBot="1">
      <c r="A6" s="94" t="s">
        <v>66</v>
      </c>
      <c r="B6" s="50" t="s">
        <v>75</v>
      </c>
      <c r="C6" s="99">
        <f>4*30</f>
        <v>120</v>
      </c>
      <c r="D6" s="99"/>
      <c r="E6" s="51"/>
      <c r="F6" s="52">
        <f>F7+F8+F9</f>
        <v>39000</v>
      </c>
      <c r="G6" s="24"/>
      <c r="H6" s="24"/>
      <c r="I6" s="24"/>
      <c r="J6" s="24"/>
      <c r="K6" s="25"/>
      <c r="L6" s="25"/>
      <c r="M6" s="25"/>
      <c r="N6" s="39"/>
      <c r="O6" s="39"/>
      <c r="P6" s="84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1" thickBot="1" thickTop="1">
      <c r="A7" s="95" t="s">
        <v>67</v>
      </c>
      <c r="B7" s="53" t="s">
        <v>87</v>
      </c>
      <c r="C7" s="59"/>
      <c r="D7" s="59"/>
      <c r="E7" s="54"/>
      <c r="F7" s="78">
        <f>Себестоимость!B19</f>
        <v>20000</v>
      </c>
      <c r="G7" s="27"/>
      <c r="H7" s="28"/>
      <c r="I7" s="28"/>
      <c r="J7" s="28"/>
      <c r="K7" s="30"/>
      <c r="L7" s="30"/>
      <c r="M7" s="30"/>
      <c r="N7" s="31"/>
      <c r="O7" s="31"/>
      <c r="P7" s="84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ht="21" thickBot="1" thickTop="1">
      <c r="A8" s="95" t="s">
        <v>68</v>
      </c>
      <c r="B8" s="53" t="s">
        <v>93</v>
      </c>
      <c r="C8" s="59"/>
      <c r="D8" s="59"/>
      <c r="E8" s="54"/>
      <c r="F8" s="78">
        <f>Себестоимость!B20*(1-0.9)</f>
        <v>1899.9999999999995</v>
      </c>
      <c r="G8" s="27"/>
      <c r="H8" s="28"/>
      <c r="I8" s="28"/>
      <c r="J8" s="28"/>
      <c r="K8" s="30"/>
      <c r="L8" s="30"/>
      <c r="M8" s="30"/>
      <c r="N8" s="31"/>
      <c r="O8" s="31"/>
      <c r="P8" s="84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1" s="18" customFormat="1" ht="21" thickTop="1">
      <c r="A9" s="96" t="s">
        <v>68</v>
      </c>
      <c r="B9" s="55" t="s">
        <v>94</v>
      </c>
      <c r="C9" s="102"/>
      <c r="D9" s="102"/>
      <c r="E9" s="56"/>
      <c r="F9" s="79">
        <f>Себестоимость!B20-Этапы!F8</f>
        <v>17100</v>
      </c>
      <c r="G9" s="41"/>
      <c r="H9" s="42"/>
      <c r="I9" s="42"/>
      <c r="J9" s="42"/>
      <c r="K9" s="41"/>
      <c r="L9" s="41"/>
      <c r="M9" s="41"/>
      <c r="N9" s="43"/>
      <c r="O9" s="43"/>
      <c r="P9" s="85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17"/>
    </row>
    <row r="10" spans="1:31" ht="13.5" thickBot="1">
      <c r="A10" s="94" t="s">
        <v>69</v>
      </c>
      <c r="B10" s="50" t="s">
        <v>77</v>
      </c>
      <c r="C10" s="94">
        <f>5*30</f>
        <v>150</v>
      </c>
      <c r="D10" s="94"/>
      <c r="E10" s="57"/>
      <c r="F10" s="58">
        <f>Себестоимость!B24</f>
        <v>250000</v>
      </c>
      <c r="G10" s="32"/>
      <c r="H10" s="32"/>
      <c r="I10" s="32"/>
      <c r="J10" s="33"/>
      <c r="K10" s="33"/>
      <c r="L10" s="33"/>
      <c r="M10" s="33"/>
      <c r="N10" s="34"/>
      <c r="O10" s="70"/>
      <c r="P10" s="84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7"/>
    </row>
    <row r="11" spans="1:31" ht="13.5" thickTop="1">
      <c r="A11" s="97" t="s">
        <v>80</v>
      </c>
      <c r="B11" s="53" t="s">
        <v>78</v>
      </c>
      <c r="C11" s="59"/>
      <c r="D11" s="59"/>
      <c r="E11" s="54"/>
      <c r="F11" s="59"/>
      <c r="G11" s="28"/>
      <c r="H11" s="26"/>
      <c r="I11" s="28"/>
      <c r="J11" s="35"/>
      <c r="L11" s="29"/>
      <c r="M11" s="29"/>
      <c r="N11" s="31"/>
      <c r="O11" s="31"/>
      <c r="P11" s="84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7"/>
    </row>
    <row r="12" spans="1:30" s="17" customFormat="1" ht="12.75">
      <c r="A12" s="98" t="s">
        <v>81</v>
      </c>
      <c r="B12" s="60" t="s">
        <v>79</v>
      </c>
      <c r="C12" s="103"/>
      <c r="D12" s="103"/>
      <c r="E12" s="61"/>
      <c r="F12" s="62"/>
      <c r="G12" s="30"/>
      <c r="H12" s="30"/>
      <c r="I12" s="30"/>
      <c r="J12" s="30"/>
      <c r="K12" s="36"/>
      <c r="M12" s="28"/>
      <c r="N12" s="31"/>
      <c r="O12" s="31"/>
      <c r="P12" s="84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17" customFormat="1" ht="12.75">
      <c r="A13" s="98" t="s">
        <v>82</v>
      </c>
      <c r="B13" s="60" t="s">
        <v>27</v>
      </c>
      <c r="C13" s="103"/>
      <c r="D13" s="103"/>
      <c r="E13" s="61"/>
      <c r="F13" s="62"/>
      <c r="G13" s="30"/>
      <c r="H13" s="30"/>
      <c r="I13" s="30"/>
      <c r="J13" s="30"/>
      <c r="K13" s="30"/>
      <c r="L13" s="37"/>
      <c r="M13" s="37"/>
      <c r="N13" s="69"/>
      <c r="O13" s="29"/>
      <c r="P13" s="84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17" customFormat="1" ht="12.75">
      <c r="A14" s="98" t="s">
        <v>83</v>
      </c>
      <c r="B14" s="60" t="s">
        <v>84</v>
      </c>
      <c r="C14" s="103"/>
      <c r="D14" s="103"/>
      <c r="E14" s="61"/>
      <c r="F14" s="62"/>
      <c r="G14" s="30"/>
      <c r="H14" s="30"/>
      <c r="I14" s="30"/>
      <c r="J14" s="30"/>
      <c r="K14" s="30"/>
      <c r="L14" s="30"/>
      <c r="M14" s="28"/>
      <c r="N14" s="38"/>
      <c r="O14" s="26"/>
      <c r="P14" s="8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ht="20.25">
      <c r="A15" s="98" t="s">
        <v>86</v>
      </c>
      <c r="B15" s="60" t="s">
        <v>70</v>
      </c>
      <c r="C15" s="101"/>
      <c r="D15" s="101"/>
      <c r="E15" s="67"/>
      <c r="F15" s="71"/>
      <c r="G15" s="72"/>
      <c r="H15" s="72"/>
      <c r="I15" s="72"/>
      <c r="J15" s="72"/>
      <c r="L15" s="73"/>
      <c r="M15" s="73"/>
      <c r="N15" s="74"/>
      <c r="O15" s="74"/>
      <c r="P15" s="85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17" customFormat="1" ht="12.75">
      <c r="A16" s="99" t="s">
        <v>71</v>
      </c>
      <c r="B16" s="76" t="s">
        <v>76</v>
      </c>
      <c r="C16" s="99">
        <f>3*30</f>
        <v>90</v>
      </c>
      <c r="D16" s="99"/>
      <c r="E16" s="51"/>
      <c r="F16" s="52">
        <f>F17+F18</f>
        <v>370000</v>
      </c>
      <c r="G16" s="77"/>
      <c r="H16" s="77"/>
      <c r="I16" s="89"/>
      <c r="J16" s="89"/>
      <c r="K16" s="82"/>
      <c r="L16" s="82"/>
      <c r="M16" s="82"/>
      <c r="N16" s="104"/>
      <c r="O16" s="89"/>
      <c r="P16" s="83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1:30" s="17" customFormat="1" ht="13.5" thickBot="1">
      <c r="A17" s="98" t="s">
        <v>89</v>
      </c>
      <c r="B17" s="60" t="s">
        <v>76</v>
      </c>
      <c r="C17" s="103"/>
      <c r="D17" s="103"/>
      <c r="E17" s="61"/>
      <c r="F17" s="80">
        <f>Себестоимость!B21+Себестоимость!B22+Себестоимость!B23</f>
        <v>350000</v>
      </c>
      <c r="G17" s="30"/>
      <c r="H17" s="30"/>
      <c r="I17" s="75"/>
      <c r="J17" s="75"/>
      <c r="K17" s="30"/>
      <c r="L17" s="30"/>
      <c r="M17" s="30"/>
      <c r="N17" s="8"/>
      <c r="O17" s="29"/>
      <c r="P17" s="84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1" ht="13.5" thickTop="1">
      <c r="A18" s="97" t="s">
        <v>88</v>
      </c>
      <c r="B18" s="53" t="s">
        <v>90</v>
      </c>
      <c r="C18" s="59"/>
      <c r="D18" s="59"/>
      <c r="E18" s="54"/>
      <c r="F18" s="81">
        <f>Себестоимость!B23</f>
        <v>20000</v>
      </c>
      <c r="G18" s="28"/>
      <c r="H18" s="26"/>
      <c r="I18" s="28"/>
      <c r="J18" s="30"/>
      <c r="L18" s="29"/>
      <c r="M18" s="29"/>
      <c r="N18" s="31"/>
      <c r="O18" s="87"/>
      <c r="P18" s="86"/>
      <c r="Q18" s="40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17"/>
    </row>
    <row r="19" spans="1:30" ht="12.75">
      <c r="A19" s="100" t="s">
        <v>72</v>
      </c>
      <c r="B19" s="63" t="s">
        <v>85</v>
      </c>
      <c r="C19" s="100">
        <f>1*30</f>
        <v>30</v>
      </c>
      <c r="D19" s="100"/>
      <c r="E19" s="64"/>
      <c r="F19" s="65"/>
      <c r="G19" s="44"/>
      <c r="H19" s="44"/>
      <c r="I19" s="44"/>
      <c r="J19" s="44"/>
      <c r="K19" s="44"/>
      <c r="L19" s="1"/>
      <c r="M19" s="1"/>
      <c r="N19" s="45"/>
      <c r="O19" s="44"/>
      <c r="P19" s="4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101" t="s">
        <v>73</v>
      </c>
      <c r="B20" s="66" t="s">
        <v>91</v>
      </c>
      <c r="C20" s="101"/>
      <c r="D20" s="101"/>
      <c r="E20" s="67"/>
      <c r="F20" s="68"/>
      <c r="G20" s="47"/>
      <c r="H20" s="47"/>
      <c r="I20" s="47"/>
      <c r="J20" s="47"/>
      <c r="K20" s="47"/>
      <c r="L20" s="47"/>
      <c r="M20" s="47"/>
      <c r="N20" s="48"/>
      <c r="O20" s="4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49"/>
      <c r="AC20" s="88"/>
      <c r="AD20" s="88"/>
    </row>
    <row r="21" spans="3:15" ht="13.5" thickBot="1">
      <c r="C21" s="19"/>
      <c r="D21" s="19"/>
      <c r="E21" s="19"/>
      <c r="F21" s="90"/>
      <c r="G21" s="20"/>
      <c r="H21" s="20"/>
      <c r="I21" s="20"/>
      <c r="J21" s="20"/>
      <c r="K21" s="20"/>
      <c r="L21" s="20"/>
      <c r="M21" s="14"/>
      <c r="N21" s="21"/>
      <c r="O21" s="22"/>
    </row>
    <row r="22" spans="1:22" ht="21" thickTop="1">
      <c r="A22" s="105"/>
      <c r="B22" s="9" t="s">
        <v>117</v>
      </c>
      <c r="C22" s="105"/>
      <c r="D22" s="105"/>
      <c r="E22" s="105"/>
      <c r="F22" s="106"/>
      <c r="G22" s="20"/>
      <c r="H22" s="20"/>
      <c r="I22" s="20"/>
      <c r="J22" s="20"/>
      <c r="K22" s="20"/>
      <c r="L22" s="20"/>
      <c r="M22" s="20"/>
      <c r="N22" s="107"/>
      <c r="O22" s="107"/>
      <c r="P22" s="17"/>
      <c r="Q22" s="17"/>
      <c r="R22" s="17"/>
      <c r="S22" s="17"/>
      <c r="T22" s="17"/>
      <c r="U22" s="8"/>
      <c r="V22" s="8"/>
    </row>
    <row r="23" spans="3:30" ht="12.75">
      <c r="C23" s="19"/>
      <c r="D23" s="19"/>
      <c r="E23" s="19"/>
      <c r="F23" s="90"/>
      <c r="G23" s="16">
        <v>1</v>
      </c>
      <c r="H23" s="16">
        <v>2</v>
      </c>
      <c r="I23" s="16">
        <v>3</v>
      </c>
      <c r="J23" s="16">
        <v>4</v>
      </c>
      <c r="K23" s="16">
        <v>5</v>
      </c>
      <c r="L23" s="16">
        <v>6</v>
      </c>
      <c r="M23" s="16">
        <v>7</v>
      </c>
      <c r="N23" s="16">
        <v>8</v>
      </c>
      <c r="O23" s="16">
        <v>9</v>
      </c>
      <c r="P23" s="23">
        <v>10</v>
      </c>
      <c r="Q23" s="16">
        <v>11</v>
      </c>
      <c r="R23" s="16">
        <v>12</v>
      </c>
      <c r="S23" s="16">
        <v>1</v>
      </c>
      <c r="T23" s="16">
        <v>2</v>
      </c>
      <c r="U23" s="16">
        <v>3</v>
      </c>
      <c r="V23" s="16">
        <v>4</v>
      </c>
      <c r="W23" s="16">
        <v>5</v>
      </c>
      <c r="X23" s="16">
        <v>6</v>
      </c>
      <c r="Y23" s="16">
        <v>7</v>
      </c>
      <c r="Z23" s="16">
        <v>8</v>
      </c>
      <c r="AA23" s="16">
        <v>9</v>
      </c>
      <c r="AB23" s="16">
        <v>10</v>
      </c>
      <c r="AC23" s="16">
        <v>11</v>
      </c>
      <c r="AD23" s="16">
        <v>12</v>
      </c>
    </row>
    <row r="24" spans="1:30" ht="12.75">
      <c r="A24" s="100" t="s">
        <v>66</v>
      </c>
      <c r="B24" s="63" t="str">
        <f>Себестоимость!A31</f>
        <v>Вода</v>
      </c>
      <c r="C24" s="100"/>
      <c r="D24" s="100"/>
      <c r="E24" s="64"/>
      <c r="F24" s="65"/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1</v>
      </c>
      <c r="Q24" s="109">
        <v>1</v>
      </c>
      <c r="R24" s="109">
        <v>1</v>
      </c>
      <c r="S24" s="109">
        <v>1</v>
      </c>
      <c r="T24" s="109">
        <v>1</v>
      </c>
      <c r="U24" s="109">
        <v>1</v>
      </c>
      <c r="V24" s="109">
        <v>1</v>
      </c>
      <c r="W24" s="109">
        <v>1</v>
      </c>
      <c r="X24" s="109">
        <v>1</v>
      </c>
      <c r="Y24" s="109">
        <v>1</v>
      </c>
      <c r="Z24" s="109">
        <v>1</v>
      </c>
      <c r="AA24" s="109">
        <v>1</v>
      </c>
      <c r="AB24" s="109">
        <v>1</v>
      </c>
      <c r="AC24" s="109">
        <v>1</v>
      </c>
      <c r="AD24" s="109">
        <v>1</v>
      </c>
    </row>
    <row r="25" spans="1:30" ht="12.75">
      <c r="A25" s="101" t="s">
        <v>69</v>
      </c>
      <c r="B25" s="63" t="str">
        <f>Себестоимость!A32</f>
        <v>Корм (кормовой коэффициент 1,0)</v>
      </c>
      <c r="C25" s="101"/>
      <c r="D25" s="101"/>
      <c r="E25" s="67"/>
      <c r="F25" s="71"/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09">
        <v>1</v>
      </c>
      <c r="Q25" s="109">
        <v>0</v>
      </c>
      <c r="R25" s="109">
        <v>0</v>
      </c>
      <c r="S25" s="109">
        <v>1</v>
      </c>
      <c r="T25" s="109">
        <v>0</v>
      </c>
      <c r="U25" s="109">
        <v>0</v>
      </c>
      <c r="V25" s="109">
        <v>1</v>
      </c>
      <c r="W25" s="109">
        <v>0</v>
      </c>
      <c r="X25" s="109">
        <v>0</v>
      </c>
      <c r="Y25" s="109">
        <v>1</v>
      </c>
      <c r="Z25" s="109">
        <v>0</v>
      </c>
      <c r="AA25" s="109">
        <v>0</v>
      </c>
      <c r="AB25" s="109">
        <v>1</v>
      </c>
      <c r="AC25" s="109">
        <v>0</v>
      </c>
      <c r="AD25" s="109">
        <v>0</v>
      </c>
    </row>
    <row r="26" spans="1:30" ht="12.75">
      <c r="A26" s="101" t="s">
        <v>71</v>
      </c>
      <c r="B26" s="63" t="str">
        <f>Себестоимость!A33</f>
        <v>Мальки</v>
      </c>
      <c r="C26" s="101"/>
      <c r="D26" s="101"/>
      <c r="E26" s="67"/>
      <c r="F26" s="71"/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09">
        <v>1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1</v>
      </c>
      <c r="AC26" s="109">
        <v>0</v>
      </c>
      <c r="AD26" s="109">
        <v>0</v>
      </c>
    </row>
    <row r="27" spans="1:30" ht="12.75">
      <c r="A27" s="100" t="s">
        <v>72</v>
      </c>
      <c r="B27" s="63" t="str">
        <f>Себестоимость!A34</f>
        <v>Электричество</v>
      </c>
      <c r="C27" s="101"/>
      <c r="D27" s="101"/>
      <c r="E27" s="67"/>
      <c r="F27" s="71"/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08">
        <v>1</v>
      </c>
      <c r="Q27" s="109">
        <v>1</v>
      </c>
      <c r="R27" s="109">
        <v>1</v>
      </c>
      <c r="S27" s="109">
        <v>1</v>
      </c>
      <c r="T27" s="109">
        <v>1</v>
      </c>
      <c r="U27" s="109">
        <v>1</v>
      </c>
      <c r="V27" s="109">
        <v>1</v>
      </c>
      <c r="W27" s="109">
        <v>1</v>
      </c>
      <c r="X27" s="109">
        <v>1</v>
      </c>
      <c r="Y27" s="109">
        <v>1</v>
      </c>
      <c r="Z27" s="109">
        <v>1</v>
      </c>
      <c r="AA27" s="109">
        <v>1</v>
      </c>
      <c r="AB27" s="109">
        <v>1</v>
      </c>
      <c r="AC27" s="109">
        <v>1</v>
      </c>
      <c r="AD27" s="109">
        <v>1</v>
      </c>
    </row>
    <row r="28" spans="1:30" ht="12.75">
      <c r="A28" s="100" t="s">
        <v>73</v>
      </c>
      <c r="B28" s="63" t="str">
        <f>Себестоимость!A35</f>
        <v>Персонал</v>
      </c>
      <c r="C28" s="101"/>
      <c r="D28" s="101"/>
      <c r="E28" s="67"/>
      <c r="F28" s="71"/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08">
        <v>1</v>
      </c>
      <c r="Q28" s="109">
        <v>1</v>
      </c>
      <c r="R28" s="109">
        <v>1</v>
      </c>
      <c r="S28" s="109">
        <v>1</v>
      </c>
      <c r="T28" s="109">
        <v>1</v>
      </c>
      <c r="U28" s="109">
        <v>1</v>
      </c>
      <c r="V28" s="109">
        <v>1</v>
      </c>
      <c r="W28" s="109">
        <v>1</v>
      </c>
      <c r="X28" s="109">
        <v>1</v>
      </c>
      <c r="Y28" s="109">
        <v>1</v>
      </c>
      <c r="Z28" s="109">
        <v>1</v>
      </c>
      <c r="AA28" s="109">
        <v>1</v>
      </c>
      <c r="AB28" s="109">
        <v>1</v>
      </c>
      <c r="AC28" s="109">
        <v>1</v>
      </c>
      <c r="AD28" s="109">
        <v>1</v>
      </c>
    </row>
    <row r="29" spans="1:30" ht="12.75">
      <c r="A29" s="100" t="s">
        <v>118</v>
      </c>
      <c r="B29" s="63" t="str">
        <f>Себестоимость!A36</f>
        <v>Отопление (газ, КПД=95%)</v>
      </c>
      <c r="C29" s="101"/>
      <c r="D29" s="101"/>
      <c r="E29" s="67"/>
      <c r="F29" s="68"/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08">
        <v>1</v>
      </c>
      <c r="Q29" s="109">
        <v>1</v>
      </c>
      <c r="R29" s="109">
        <v>1</v>
      </c>
      <c r="S29" s="109">
        <v>1</v>
      </c>
      <c r="T29" s="109">
        <v>1</v>
      </c>
      <c r="U29" s="109">
        <v>1</v>
      </c>
      <c r="V29" s="109">
        <v>1</v>
      </c>
      <c r="W29" s="109">
        <v>1</v>
      </c>
      <c r="X29" s="109">
        <v>1</v>
      </c>
      <c r="Y29" s="109">
        <v>1</v>
      </c>
      <c r="Z29" s="109">
        <v>1</v>
      </c>
      <c r="AA29" s="109">
        <v>1</v>
      </c>
      <c r="AB29" s="109">
        <v>1</v>
      </c>
      <c r="AC29" s="109">
        <v>1</v>
      </c>
      <c r="AD29" s="109">
        <v>1</v>
      </c>
    </row>
    <row r="30" spans="1:22" ht="12.75">
      <c r="A30" s="105"/>
      <c r="B30" s="112"/>
      <c r="C30" s="105"/>
      <c r="D30" s="105"/>
      <c r="E30" s="105"/>
      <c r="F30" s="106"/>
      <c r="G30" s="20"/>
      <c r="H30" s="20"/>
      <c r="I30" s="20"/>
      <c r="J30" s="20"/>
      <c r="K30" s="20"/>
      <c r="L30" s="20"/>
      <c r="M30" s="20"/>
      <c r="N30" s="107"/>
      <c r="O30" s="107"/>
      <c r="P30" s="17"/>
      <c r="Q30" s="17"/>
      <c r="R30" s="17"/>
      <c r="S30" s="17"/>
      <c r="T30" s="17"/>
      <c r="U30" s="8"/>
      <c r="V30" s="8"/>
    </row>
    <row r="32" ht="12.75">
      <c r="B32" s="93" t="s">
        <v>103</v>
      </c>
    </row>
    <row r="33" spans="2:4" ht="12.75">
      <c r="B33" s="91" t="s">
        <v>97</v>
      </c>
      <c r="C33" s="92">
        <v>3</v>
      </c>
      <c r="D33" s="92" t="s">
        <v>98</v>
      </c>
    </row>
    <row r="34" spans="2:4" ht="12.75">
      <c r="B34" s="91" t="s">
        <v>101</v>
      </c>
      <c r="C34" s="92">
        <v>12</v>
      </c>
      <c r="D34" s="92" t="s">
        <v>102</v>
      </c>
    </row>
    <row r="35" spans="2:4" ht="12.75">
      <c r="B35" s="91" t="s">
        <v>131</v>
      </c>
      <c r="C35" s="212">
        <v>0.3</v>
      </c>
      <c r="D35" s="92"/>
    </row>
    <row r="36" spans="2:4" ht="12.75">
      <c r="B36" s="91"/>
      <c r="C36" s="92"/>
      <c r="D36" s="92"/>
    </row>
    <row r="37" ht="12.75">
      <c r="B37" s="93" t="s">
        <v>104</v>
      </c>
    </row>
    <row r="38" spans="2:5" ht="12.75">
      <c r="B38" s="91" t="s">
        <v>105</v>
      </c>
      <c r="C38" s="92">
        <v>12</v>
      </c>
      <c r="D38" s="92" t="s">
        <v>102</v>
      </c>
      <c r="E38" s="92" t="s">
        <v>106</v>
      </c>
    </row>
    <row r="39" spans="2:4" ht="12.75">
      <c r="B39" s="91" t="s">
        <v>99</v>
      </c>
      <c r="C39" s="92">
        <v>10</v>
      </c>
      <c r="D39" s="92" t="s">
        <v>100</v>
      </c>
    </row>
    <row r="41" ht="12.75">
      <c r="B41" s="93" t="s">
        <v>43</v>
      </c>
    </row>
    <row r="42" spans="2:5" ht="12.75">
      <c r="B42" s="91" t="s">
        <v>116</v>
      </c>
      <c r="C42" s="92">
        <v>3</v>
      </c>
      <c r="D42" s="92" t="s">
        <v>100</v>
      </c>
      <c r="E42" s="92"/>
    </row>
    <row r="44" ht="12.75">
      <c r="B44" s="93" t="s">
        <v>20</v>
      </c>
    </row>
    <row r="45" spans="2:5" ht="12.75">
      <c r="B45" s="91" t="s">
        <v>116</v>
      </c>
      <c r="C45" s="92">
        <v>12</v>
      </c>
      <c r="D45" s="92" t="s">
        <v>102</v>
      </c>
      <c r="E45" s="92"/>
    </row>
    <row r="46" spans="2:5" ht="12.75">
      <c r="B46" s="91"/>
      <c r="C46" s="92"/>
      <c r="D46" s="92"/>
      <c r="E46" s="92"/>
    </row>
    <row r="47" ht="12.75">
      <c r="B47" s="114" t="s">
        <v>144</v>
      </c>
    </row>
  </sheetData>
  <sheetProtection/>
  <mergeCells count="7">
    <mergeCell ref="G4:R4"/>
    <mergeCell ref="S4:AD4"/>
    <mergeCell ref="E4:E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5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Akva 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Krasnoborodko Vasiliy</dc:creator>
  <cp:keywords/>
  <dc:description/>
  <cp:lastModifiedBy>Василий Краснобородько</cp:lastModifiedBy>
  <cp:lastPrinted>2005-11-25T22:48:16Z</cp:lastPrinted>
  <dcterms:created xsi:type="dcterms:W3CDTF">2005-05-31T19:45:55Z</dcterms:created>
  <dcterms:modified xsi:type="dcterms:W3CDTF">2023-11-16T17:40:25Z</dcterms:modified>
  <cp:category/>
  <cp:version/>
  <cp:contentType/>
  <cp:contentStatus/>
</cp:coreProperties>
</file>